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I:\ABTEILUNG_62\621\_Allgemein\ESF u. LANDESPROJEKTE\Landes-Projekte\Aufrufverfahren\Landesaufruf 2025\Aufrufdokumente\"/>
    </mc:Choice>
  </mc:AlternateContent>
  <bookViews>
    <workbookView xWindow="-120" yWindow="-120" windowWidth="29040" windowHeight="15720"/>
  </bookViews>
  <sheets>
    <sheet name="Anmeldeformular2025-1" sheetId="1" r:id="rId1"/>
    <sheet name="JC" sheetId="26" state="hidden" r:id="rId2"/>
    <sheet name="DokuBogen" sheetId="2" state="hidden" r:id="rId3"/>
    <sheet name="DOKU_Verk" sheetId="18" state="hidden" r:id="rId4"/>
    <sheet name="Intern" sheetId="7" state="hidden" r:id="rId5"/>
    <sheet name="Check" sheetId="6" state="hidden" r:id="rId6"/>
    <sheet name="HilfstabelleDatenbank" sheetId="27" state="hidden" r:id="rId7"/>
    <sheet name="Auswahl" sheetId="4" state="hidden" r:id="rId8"/>
    <sheet name="HSOB" sheetId="20" state="hidden" r:id="rId9"/>
    <sheet name="GK" sheetId="3" state="hidden" r:id="rId10"/>
    <sheet name="Pachse" sheetId="15" state="hidden" r:id="rId11"/>
    <sheet name="spez.Ziel" sheetId="16" state="hidden" r:id="rId12"/>
    <sheet name="FAnsatz" sheetId="14" state="hidden" r:id="rId13"/>
    <sheet name="Plstg" sheetId="21" state="hidden" r:id="rId14"/>
    <sheet name="ZG" sheetId="11" state="hidden" r:id="rId15"/>
    <sheet name="fehl.Kofi" sheetId="22" state="hidden" r:id="rId16"/>
    <sheet name="Bedarfbest" sheetId="17" state="hidden" r:id="rId17"/>
    <sheet name="Namen" sheetId="19" state="hidden" r:id="rId18"/>
    <sheet name="Namenliste" sheetId="8" state="hidden" r:id="rId19"/>
    <sheet name="Datenbank_Ende" sheetId="9" state="hidden" r:id="rId20"/>
    <sheet name="Tabelle1" sheetId="23" state="hidden" r:id="rId21"/>
    <sheet name="Tabelle2" sheetId="24" state="hidden" r:id="rId22"/>
    <sheet name="Tabelle3" sheetId="25" state="hidden" r:id="rId23"/>
  </sheets>
  <definedNames>
    <definedName name="_xlnm._FilterDatabase" localSheetId="0" hidden="1">'Anmeldeformular2025-1'!$A$1:$D$1</definedName>
    <definedName name="aBund">'Anmeldeformular2025-1'!#REF!</definedName>
    <definedName name="abund1jahr">'Anmeldeformular2025-1'!#REF!</definedName>
    <definedName name="abund2jahr">'Anmeldeformular2025-1'!#REF!</definedName>
    <definedName name="abund3jahr">'Anmeldeformular2025-1'!#REF!</definedName>
    <definedName name="abund4jahr">'Anmeldeformular2025-1'!#REF!</definedName>
    <definedName name="abund5jahr">'Anmeldeformular2025-1'!#REF!</definedName>
    <definedName name="abundges">'Anmeldeformular2025-1'!#REF!</definedName>
    <definedName name="Akauswahl" localSheetId="0">HilfstabelleDatenbank!$C$7</definedName>
    <definedName name="Akauswahl" localSheetId="6">HilfstabelleDatenbank!$C$7</definedName>
    <definedName name="Akauswahl">Auswahl!$C$2</definedName>
    <definedName name="Aktion">Auswahl!$D$7</definedName>
    <definedName name="Aktionauswahl">Auswahl!$C$7</definedName>
    <definedName name="Aktionliste">spez.Ziel!$A$2:$A$7</definedName>
    <definedName name="AktionlisteGesamt">spez.Ziel!$F$2:$F$14</definedName>
    <definedName name="aktivesf">'Anmeldeformular2025-1'!#REF!</definedName>
    <definedName name="aktivkofi">'Anmeldeformular2025-1'!$L$71</definedName>
    <definedName name="andeinnahmen">'Anmeldeformular2025-1'!#REF!</definedName>
    <definedName name="andland1jahr">'Anmeldeformular2025-1'!#REF!</definedName>
    <definedName name="andland2jahr">'Anmeldeformular2025-1'!#REF!</definedName>
    <definedName name="andland3jahr">'Anmeldeformular2025-1'!#REF!</definedName>
    <definedName name="andland4jahr">'Anmeldeformular2025-1'!#REF!</definedName>
    <definedName name="andland5jahr">'Anmeldeformular2025-1'!#REF!</definedName>
    <definedName name="andlandges">'Anmeldeformular2025-1'!#REF!</definedName>
    <definedName name="Anmeldeingang">Intern!$B$3</definedName>
    <definedName name="AnmeldeNummer">Intern!$A$3</definedName>
    <definedName name="Anspranrede">'Anmeldeformular2025-1'!$B$21</definedName>
    <definedName name="ansprmail">'Anmeldeformular2025-1'!$L$23</definedName>
    <definedName name="Ansprname">'Anmeldeformular2025-1'!$F$21</definedName>
    <definedName name="ansprtel">'Anmeldeformular2025-1'!$B$23</definedName>
    <definedName name="ansprvorname">'Anmeldeformular2025-1'!$Q$21</definedName>
    <definedName name="anteilnettoandere">'Anmeldeformular2025-1'!#REF!</definedName>
    <definedName name="Anteilnettoesf">'Anmeldeformular2025-1'!#REF!</definedName>
    <definedName name="anteilnettokofi">'Anmeldeformular2025-1'!#REF!</definedName>
    <definedName name="AZvorprojekt">'Anmeldeformular2025-1'!$AA$37</definedName>
    <definedName name="ba1jahr">'Anmeldeformular2025-1'!#REF!</definedName>
    <definedName name="ba2jahr">'Anmeldeformular2025-1'!#REF!</definedName>
    <definedName name="ba3jahr">'Anmeldeformular2025-1'!#REF!</definedName>
    <definedName name="ba4jahr">'Anmeldeformular2025-1'!$Y$63</definedName>
    <definedName name="BAges">'Anmeldeformular2025-1'!#REF!</definedName>
    <definedName name="BAinstit">'Anmeldeformular2025-1'!#REF!</definedName>
    <definedName name="Bearbeiter">Intern!#REF!</definedName>
    <definedName name="Bedarf">'Anmeldeformular2025-1'!$B$100</definedName>
    <definedName name="Bedarfbest">Bedarfbest!$A$1:$A$11</definedName>
    <definedName name="Bedarfbestauswahl">Auswahl!$C$30</definedName>
    <definedName name="Bedarfbestliste">Bedarfbest!$A$1:$A$9</definedName>
    <definedName name="Beginn">'Anmeldeformular2025-1'!$B$36</definedName>
    <definedName name="Berat">GK!#REF!</definedName>
    <definedName name="Berat1">GK!#REF!</definedName>
    <definedName name="Berat2">GK!#REF!</definedName>
    <definedName name="Beratauswahl">GK!#REF!</definedName>
    <definedName name="Beraterliste">GK!$B$1:$B$37</definedName>
    <definedName name="Beraternamen">HSOB!$A$1:$B$4</definedName>
    <definedName name="BewertungBS">Auswahl!$C$29</definedName>
    <definedName name="Bewertungspunkte">DokuBogen!$AD$58</definedName>
    <definedName name="Chartaauswahl">Auswahl!$C$12</definedName>
    <definedName name="Datenzeile">Intern!$A$3:$BU$3</definedName>
    <definedName name="Dokuaktionauswahl">Auswahl!$C$35</definedName>
    <definedName name="Dokufansatzauswahl">Auswahl!$C$36</definedName>
    <definedName name="DokuPauswahl">Auswahl!$C$34</definedName>
    <definedName name="_xlnm.Print_Area" localSheetId="0">'Anmeldeformular2025-1'!$A$1:$AC$122</definedName>
    <definedName name="_xlnm.Print_Area" localSheetId="5">Check!$A$1:$D$65</definedName>
    <definedName name="_xlnm.Print_Area" localSheetId="2">DokuBogen!$A$1:$AF$88</definedName>
    <definedName name="edwd">Auswahl!$D$3</definedName>
    <definedName name="edwdAuswahl">Auswahl!$C$3</definedName>
    <definedName name="eigen1jahr">'Anmeldeformular2025-1'!$P$63</definedName>
    <definedName name="eigen2jahr">'Anmeldeformular2025-1'!$S$63</definedName>
    <definedName name="eigen3jahr">'Anmeldeformular2025-1'!$V$63</definedName>
    <definedName name="eigen4jahr">'Anmeldeformular2025-1'!#REF!</definedName>
    <definedName name="eigenges">'Anmeldeformular2025-1'!$M$63</definedName>
    <definedName name="Eingangdat">'Anmeldeformular2025-1'!$A$2</definedName>
    <definedName name="einnahmen1jahr">'Anmeldeformular2025-1'!$P$67</definedName>
    <definedName name="einnahmen2jahr">'Anmeldeformular2025-1'!$S$67</definedName>
    <definedName name="einnahmen3jahr">'Anmeldeformular2025-1'!$V$67</definedName>
    <definedName name="einnahmen4jahr">'Anmeldeformular2025-1'!#REF!</definedName>
    <definedName name="einnahmenges">'Anmeldeformular2025-1'!$M$67</definedName>
    <definedName name="Ende">'Anmeldeformular2025-1'!$F$36</definedName>
    <definedName name="entgelttn1jahr">'Anmeldeformular2025-1'!$P$65</definedName>
    <definedName name="entgelttn2jahr">'Anmeldeformular2025-1'!$S$65</definedName>
    <definedName name="entgelttn3jahr">'Anmeldeformular2025-1'!$V$65</definedName>
    <definedName name="entgelttn4jahr">'Anmeldeformular2025-1'!#REF!</definedName>
    <definedName name="entgeltTNges">'Anmeldeformular2025-1'!$M$65</definedName>
    <definedName name="Entschuldung">Auswahl!$C$22</definedName>
    <definedName name="Erfasser">Intern!#REF!</definedName>
    <definedName name="ErlaeuterungChancengl">'Anmeldeformular2025-1'!#REF!</definedName>
    <definedName name="esf1jahr">'Anmeldeformular2025-1'!#REF!</definedName>
    <definedName name="esf2jahr">'Anmeldeformular2025-1'!#REF!</definedName>
    <definedName name="esf3jahr">'Anmeldeformular2025-1'!#REF!</definedName>
    <definedName name="esf4jahr">'Anmeldeformular2025-1'!#REF!</definedName>
    <definedName name="esfges">'Anmeldeformular2025-1'!$Z$68</definedName>
    <definedName name="eurekanr">'Anmeldeformular2025-1'!$Q$26</definedName>
    <definedName name="EuropaIch">Auswahl!$C$23</definedName>
    <definedName name="Fansatz">Auswahl!$D$8</definedName>
    <definedName name="FAnsatzAuswahlen">FAnsatz!$A$1:$S$1</definedName>
    <definedName name="Fansatzliste">FAnsatz!$A$2:$A$7</definedName>
    <definedName name="FansatzlisteGesamt">FAnsatz!$S$23:$S$31</definedName>
    <definedName name="FAnsatzlisteVersatz">Auswahl!$E$8</definedName>
    <definedName name="fehl.kofi">fehl.Kofi!$A$1:$A$3</definedName>
    <definedName name="fehl.Kofiauswahl">Auswahl!$C$38</definedName>
    <definedName name="FehlendeAngaben">Check!#REF!</definedName>
    <definedName name="Foeansatzlisteges">FAnsatz!$Q$2:$Q$20</definedName>
    <definedName name="Foeauswahl">Auswahl!$C$8</definedName>
    <definedName name="Foed1jahr">Intern!#REF!</definedName>
    <definedName name="foed2jahr">Intern!#REF!</definedName>
    <definedName name="foed3jahr">Intern!#REF!</definedName>
    <definedName name="Foedges">Intern!#REF!</definedName>
    <definedName name="FProjBeginn">Namenliste!$B$192</definedName>
    <definedName name="FristEingang">Namenliste!$B$194</definedName>
    <definedName name="GEK">Auswahl!$D$5</definedName>
    <definedName name="GKAuswahl">Auswahl!$C$5</definedName>
    <definedName name="GKListe">GK!$A$1:$B$37</definedName>
    <definedName name="Gleichstellungauswahl">Auswahl!$C$16</definedName>
    <definedName name="HSOB">Auswahl!$E$5</definedName>
    <definedName name="Indikatorik">'Anmeldeformular2025-1'!$B$114</definedName>
    <definedName name="Inhalte">'Anmeldeformular2025-1'!$B$115</definedName>
    <definedName name="intervesf">'Anmeldeformular2025-1'!$W$71</definedName>
    <definedName name="Jobcenter">'Anmeldeformular2025-1'!#REF!</definedName>
    <definedName name="justiz1jahr">'Anmeldeformular2025-1'!#REF!</definedName>
    <definedName name="justiz2jahr">'Anmeldeformular2025-1'!#REF!</definedName>
    <definedName name="justiz3jahr">'Anmeldeformular2025-1'!#REF!</definedName>
    <definedName name="justiz4jahr">'Anmeldeformular2025-1'!#REF!</definedName>
    <definedName name="justizges">'Anmeldeformular2025-1'!#REF!</definedName>
    <definedName name="KMU">'Anmeldeformular2025-1'!$F$53</definedName>
    <definedName name="kom1jahr">'Anmeldeformular2025-1'!$P$60</definedName>
    <definedName name="kom2jahr">'Anmeldeformular2025-1'!$S$60</definedName>
    <definedName name="kom3jahr">'Anmeldeformular2025-1'!$V$60</definedName>
    <definedName name="kom4jahr">'Anmeldeformular2025-1'!$Y$60</definedName>
    <definedName name="komges">'Anmeldeformular2025-1'!$M$60</definedName>
    <definedName name="Kontakte">'Anmeldeformular2025-1'!#REF!</definedName>
    <definedName name="Koop">'Anmeldeformular2025-1'!$B$119</definedName>
    <definedName name="Kost1jahr">'Anmeldeformular2025-1'!$P$58</definedName>
    <definedName name="Kost2jahr">'Anmeldeformular2025-1'!$S$58</definedName>
    <definedName name="Kost3jahr">'Anmeldeformular2025-1'!$V$58</definedName>
    <definedName name="kostges">'Anmeldeformular2025-1'!$M$58</definedName>
    <definedName name="Laufzeit">Auswahl!$B$32</definedName>
    <definedName name="LDKom">'Anmeldeformular2025-1'!$E$60</definedName>
    <definedName name="LfdNum">'Anmeldeformular2025-1'!$A$4</definedName>
    <definedName name="Ltganrede">'Anmeldeformular2025-1'!$B$18</definedName>
    <definedName name="ltgname">'Anmeldeformular2025-1'!$H$18</definedName>
    <definedName name="ltgtitel">'Anmeldeformular2025-1'!$D$18</definedName>
    <definedName name="ltgvorname">'Anmeldeformular2025-1'!$Q$18</definedName>
    <definedName name="mastd1jahr">'Anmeldeformular2025-1'!$P$59</definedName>
    <definedName name="mastd2jahr">'Anmeldeformular2025-1'!$S$59</definedName>
    <definedName name="mastd3jahr">'Anmeldeformular2025-1'!$V$59</definedName>
    <definedName name="mastdges">'Anmeldeformular2025-1'!$M$59</definedName>
    <definedName name="mb1jahr">'Anmeldeformular2025-1'!#REF!</definedName>
    <definedName name="mb2jahr">'Anmeldeformular2025-1'!#REF!</definedName>
    <definedName name="mb3jahr">'Anmeldeformular2025-1'!#REF!</definedName>
    <definedName name="mb4jahr">'Anmeldeformular2025-1'!$Y$65</definedName>
    <definedName name="mbges">'Anmeldeformular2025-1'!#REF!</definedName>
    <definedName name="Methode">'Anmeldeformular2025-1'!$B$120</definedName>
    <definedName name="mffki1jahr">'Anmeldeformular2025-1'!#REF!</definedName>
    <definedName name="mffki2jahr">'Anmeldeformular2025-1'!#REF!</definedName>
    <definedName name="mffki3jahr">'Anmeldeformular2025-1'!#REF!</definedName>
    <definedName name="mffkiges">'Anmeldeformular2025-1'!#REF!</definedName>
    <definedName name="Migrat">'Anmeldeformular2025-1'!$H$50</definedName>
    <definedName name="mkuem1jahr">'Anmeldeformular2025-1'!#REF!</definedName>
    <definedName name="mkuem2jahr">'Anmeldeformular2025-1'!#REF!</definedName>
    <definedName name="mkuem3jahr">'Anmeldeformular2025-1'!#REF!</definedName>
    <definedName name="mkuemges">'Anmeldeformular2025-1'!#REF!</definedName>
    <definedName name="mwg1jahr">'Anmeldeformular2025-1'!#REF!</definedName>
    <definedName name="mwg2jahr">'Anmeldeformular2025-1'!#REF!</definedName>
    <definedName name="mwg3jahr">'Anmeldeformular2025-1'!#REF!</definedName>
    <definedName name="mwgges">'Anmeldeformular2025-1'!#REF!</definedName>
    <definedName name="mwvlw1jahr">'Anmeldeformular2025-1'!#REF!</definedName>
    <definedName name="mwvlw2jahr">'Anmeldeformular2025-1'!#REF!</definedName>
    <definedName name="mwvlw3jahr">'Anmeldeformular2025-1'!#REF!</definedName>
    <definedName name="mwvlwges">'Anmeldeformular2025-1'!#REF!</definedName>
    <definedName name="Nachhaltigkeitauswahl">Auswahl!$C$19</definedName>
    <definedName name="neufass">Intern!$C$3</definedName>
    <definedName name="Nichtdiskriminierungauswahl">Auswahl!$C$17</definedName>
    <definedName name="nrvorproj">'Anmeldeformular2025-1'!$W$36</definedName>
    <definedName name="Nummer">'Anmeldeformular2025-1'!#REF!</definedName>
    <definedName name="Pachse">Auswahl!$D$6</definedName>
    <definedName name="Pachseauswahl">Auswahl!$C$6</definedName>
    <definedName name="Pachsekurz">Auswahl!$E$6</definedName>
    <definedName name="Pachseliste">Pachse!$A$2:$A$5</definedName>
    <definedName name="Persk">'Anmeldeformular2025-1'!$Z$63</definedName>
    <definedName name="Pfortschritt">'Anmeldeformular2025-1'!#REF!</definedName>
    <definedName name="PK">Auswahl!$D$12</definedName>
    <definedName name="Pkauswahl">Auswahl!$C$12</definedName>
    <definedName name="PKliste">#REF!</definedName>
    <definedName name="PkostAG">'Anmeldeformular2025-1'!$E$64</definedName>
    <definedName name="Plstg">Auswahl!$D$9</definedName>
    <definedName name="Plstgansatzliste">FAnsatz!$A$1:$S$1</definedName>
    <definedName name="Plstgansatzlisteversatz">Auswahl!$F$9</definedName>
    <definedName name="PlstgAuswahl">Auswahl!$C$9</definedName>
    <definedName name="Plstgauswahlen">Plstg!$1:$1</definedName>
    <definedName name="Plstgauswahlgesamt">Plstg!$X$2:$X$6</definedName>
    <definedName name="PLstgkurz">Auswahl!$E$9</definedName>
    <definedName name="Plstgliste">Plstg!$A$2:$A$7</definedName>
    <definedName name="PNaktivkofi">'Anmeldeformular2025-1'!#REF!</definedName>
    <definedName name="Pnrvorgaenger">'Anmeldeformular2025-1'!$P$36</definedName>
    <definedName name="Prio2auswahl">Auswahl!$C$28</definedName>
    <definedName name="Prioauswahl">Auswahl!$C$27</definedName>
    <definedName name="Projektname">Namenliste!$B$195</definedName>
    <definedName name="Projnettokosten">'Anmeldeformular2025-1'!$Z$70</definedName>
    <definedName name="Prozaktivkofi">'Anmeldeformular2025-1'!#REF!</definedName>
    <definedName name="Pstruktur">'Anmeldeformular2025-1'!$B$110</definedName>
    <definedName name="Ptitel">'Anmeldeformular2025-1'!$B$32</definedName>
    <definedName name="Quersch">'Anmeldeformular2025-1'!#REF!</definedName>
    <definedName name="regBed">'Anmeldeformular2025-1'!$B$101</definedName>
    <definedName name="sgbII1jahr">'Anmeldeformular2025-1'!$P$61</definedName>
    <definedName name="sgbII2jahr">'Anmeldeformular2025-1'!$S$61</definedName>
    <definedName name="SgbIIges">'Anmeldeformular2025-1'!$M$61</definedName>
    <definedName name="SitZG">'Anmeldeformular2025-1'!$B$106</definedName>
    <definedName name="SK">'Anmeldeformular2025-1'!$Z$64</definedName>
    <definedName name="spenden1jahr">'Anmeldeformular2025-1'!$P$68</definedName>
    <definedName name="spenden2jahr">'Anmeldeformular2025-1'!$S$68</definedName>
    <definedName name="spenden3jahr">'Anmeldeformular2025-1'!$V$68</definedName>
    <definedName name="spendenges">'Anmeldeformular2025-1'!$M$68</definedName>
    <definedName name="SProjBeginn">Namenliste!$B$193</definedName>
    <definedName name="sstgoef1jahr">'Anmeldeformular2025-1'!$P$62</definedName>
    <definedName name="sstgoef2jahr">'Anmeldeformular2025-1'!$S$62</definedName>
    <definedName name="sstgoeff3jahr">'Anmeldeformular2025-1'!$V$62</definedName>
    <definedName name="sstgoefges">'Anmeldeformular2025-1'!$M$62</definedName>
    <definedName name="Temail">'Anmeldeformular2025-1'!$L$15</definedName>
    <definedName name="teurekanr">'Anmeldeformular2025-1'!$V$25</definedName>
    <definedName name="Tfax">'Anmeldeformular2025-1'!$G$15</definedName>
    <definedName name="Tname">'Anmeldeformular2025-1'!$B$11</definedName>
    <definedName name="TNanz">'Anmeldeformular2025-1'!$F$45</definedName>
    <definedName name="TNbes">'Anmeldeformular2025-1'!$F$52</definedName>
    <definedName name="TNerhöhterBetreu">'Anmeldeformular2025-1'!#REF!</definedName>
    <definedName name="TNgeb1jahr">'Anmeldeformular2025-1'!$P$66</definedName>
    <definedName name="tngeb2jahr">'Anmeldeformular2025-1'!$S$66</definedName>
    <definedName name="tngeb3jahr">'Anmeldeformular2025-1'!$V$66</definedName>
    <definedName name="TNgebges">'Anmeldeformular2025-1'!$M$66</definedName>
    <definedName name="TNK">'Anmeldeformular2025-1'!$Z$65</definedName>
    <definedName name="TNml">'Anmeldeformular2025-1'!$F$47</definedName>
    <definedName name="TNnichtbinär">'Anmeldeformular2025-1'!$F$48</definedName>
    <definedName name="TNpl">'Anmeldeformular2025-1'!$F$44</definedName>
    <definedName name="TNrlpauswahl">Auswahl!$C$4</definedName>
    <definedName name="TNu25j">'Anmeldeformular2025-1'!$F$48</definedName>
    <definedName name="TNue25">'Anmeldeformular2025-1'!$F$49</definedName>
    <definedName name="TNue45">'Anmeldeformular2025-1'!$F$50</definedName>
    <definedName name="Tnue55">'Anmeldeformular2025-1'!$F$51</definedName>
    <definedName name="TNwbl">'Anmeldeformular2025-1'!$F$46</definedName>
    <definedName name="Tort">'Anmeldeformular2025-1'!$P$13</definedName>
    <definedName name="Tplz">'Anmeldeformular2025-1'!$L$13</definedName>
    <definedName name="Transnationalauswahl">Auswahl!$C$18</definedName>
    <definedName name="Tstraße">'Anmeldeformular2025-1'!$B$13</definedName>
    <definedName name="Ttel">'Anmeldeformular2025-1'!$B$15</definedName>
    <definedName name="Ueregion">'Anmeldeformular2025-1'!$V$38</definedName>
    <definedName name="VGK">'Anmeldeformular2025-1'!$Z$66</definedName>
    <definedName name="Z_04F5F062_CD85_4BE7_B897_A8C5C601EF7B_.wvu.PrintArea" localSheetId="2" hidden="1">DokuBogen!$A$1:$AF$87</definedName>
    <definedName name="Z_04F5F062_CD85_4BE7_B897_A8C5C601EF7B_.wvu.Rows" localSheetId="0" hidden="1">'Anmeldeformular2025-1'!$420:$65515,'Anmeldeformular2025-1'!#REF!,'Anmeldeformular2025-1'!#REF!,'Anmeldeformular2025-1'!$173:$173</definedName>
    <definedName name="Z_04F5F062_CD85_4BE7_B897_A8C5C601EF7B_.wvu.Rows" localSheetId="2" hidden="1">DokuBogen!$87:$87</definedName>
    <definedName name="Z_EEA7A97B_E2BF_43AD_B211_D284BEE221A1_.wvu.PrintArea" localSheetId="2" hidden="1">DokuBogen!$A$1:$AF$87</definedName>
    <definedName name="Z_EEA7A97B_E2BF_43AD_B211_D284BEE221A1_.wvu.Rows" localSheetId="0" hidden="1">'Anmeldeformular2025-1'!$420:$65515,'Anmeldeformular2025-1'!#REF!,'Anmeldeformular2025-1'!#REF!,'Anmeldeformular2025-1'!$173:$173</definedName>
    <definedName name="Z_EEA7A97B_E2BF_43AD_B211_D284BEE221A1_.wvu.Rows" localSheetId="2" hidden="1">DokuBogen!$87:$87</definedName>
    <definedName name="ZG">Auswahl!$D$10</definedName>
    <definedName name="ZGauswahl">Auswahl!$C$10</definedName>
    <definedName name="ZGliste">ZG!$A$1:$A$4</definedName>
    <definedName name="zielvorg">'Anmeldeformular2025-1'!$B$105</definedName>
    <definedName name="zuschussag1jahr">'Anmeldeformular2025-1'!$P$64</definedName>
    <definedName name="zuschussag2jahr">'Anmeldeformular2025-1'!$S$64</definedName>
    <definedName name="zuschussag3jahr">'Anmeldeformular2025-1'!$V$64</definedName>
    <definedName name="ZuschussAGges">'Anmeldeformular2025-1'!$M$64</definedName>
  </definedNames>
  <calcPr calcId="162913"/>
  <customWorkbookViews>
    <customWorkbookView name="Silvia.Hintz - Persönliche Ansicht" guid="{EEA7A97B-E2BF-43AD-B211-D284BEE221A1}" mergeInterval="0" personalView="1" maximized="1" windowWidth="1276" windowHeight="817" activeSheetId="1"/>
    <customWorkbookView name="FrankGorstelle - Persönliche Ansicht" guid="{04F5F062-CD85-4BE7-B897-A8C5C601EF7B}" mergeInterval="0" personalView="1" maximized="1" windowWidth="1666" windowHeight="76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8" i="1" l="1"/>
  <c r="S58" i="1"/>
  <c r="Q25" i="1" l="1"/>
  <c r="B27" i="1"/>
  <c r="D7" i="27"/>
  <c r="A3" i="7"/>
  <c r="B3" i="7"/>
  <c r="M68" i="1"/>
  <c r="M67" i="1"/>
  <c r="M66" i="1"/>
  <c r="M65" i="1"/>
  <c r="M64" i="1"/>
  <c r="M63" i="1"/>
  <c r="M62" i="1"/>
  <c r="M61" i="1"/>
  <c r="M59" i="1"/>
  <c r="M60" i="1"/>
  <c r="Z63" i="1"/>
  <c r="M58" i="1" l="1"/>
  <c r="L71" i="1" s="1"/>
  <c r="AC37" i="2" l="1"/>
  <c r="AC42" i="2"/>
  <c r="B24" i="6" l="1"/>
  <c r="D19" i="4" l="1"/>
  <c r="D18" i="4"/>
  <c r="D17" i="4"/>
  <c r="D16" i="4"/>
  <c r="D41" i="6" a="1"/>
  <c r="D41" i="6" s="1"/>
  <c r="D43" i="6"/>
  <c r="D40" i="6"/>
  <c r="D42" i="6"/>
  <c r="D8" i="6" l="1"/>
  <c r="B10" i="6" l="1" a="1"/>
  <c r="B10" i="6" s="1"/>
  <c r="D23" i="6" l="1"/>
  <c r="H21" i="2"/>
  <c r="U73" i="2"/>
  <c r="P73" i="2"/>
  <c r="K73" i="2"/>
  <c r="K72" i="2"/>
  <c r="P72" i="2"/>
  <c r="U72" i="2"/>
  <c r="U70" i="2"/>
  <c r="B6" i="6" l="1"/>
  <c r="B5" i="6"/>
  <c r="H14" i="2"/>
  <c r="P3" i="7"/>
  <c r="D45" i="6" l="1"/>
  <c r="D35" i="6"/>
  <c r="D34" i="6"/>
  <c r="D33" i="6"/>
  <c r="D32" i="6"/>
  <c r="D31" i="6"/>
  <c r="U69" i="2" l="1"/>
  <c r="U71" i="2"/>
  <c r="U68" i="2"/>
  <c r="U74" i="2" l="1"/>
  <c r="AA20" i="1"/>
  <c r="AA21" i="1"/>
  <c r="D47" i="6"/>
  <c r="D46" i="6"/>
  <c r="P71" i="2"/>
  <c r="K71" i="2"/>
  <c r="A4" i="16"/>
  <c r="B57" i="6"/>
  <c r="B65" i="6"/>
  <c r="B67" i="6"/>
  <c r="B71" i="6"/>
  <c r="W64" i="2"/>
  <c r="H6" i="2"/>
  <c r="W12" i="2"/>
  <c r="F5" i="18"/>
  <c r="D5" i="18"/>
  <c r="K69" i="2"/>
  <c r="F6" i="18"/>
  <c r="D6" i="18"/>
  <c r="J6" i="18"/>
  <c r="O6" i="18"/>
  <c r="J5" i="18"/>
  <c r="O5" i="18"/>
  <c r="H6" i="18"/>
  <c r="H5" i="18"/>
  <c r="E13" i="18"/>
  <c r="D14" i="18"/>
  <c r="D13" i="18"/>
  <c r="C14" i="18"/>
  <c r="B14" i="18"/>
  <c r="B13" i="18"/>
  <c r="C13" i="18"/>
  <c r="P69" i="2"/>
  <c r="W10" i="2"/>
  <c r="AD10" i="2"/>
  <c r="P70" i="2"/>
  <c r="K70" i="2"/>
  <c r="P68" i="2"/>
  <c r="X3" i="2"/>
  <c r="U3" i="2"/>
  <c r="J35" i="2"/>
  <c r="E8" i="4"/>
  <c r="A4" i="14" s="1"/>
  <c r="M6" i="18"/>
  <c r="A2" i="16"/>
  <c r="A3" i="16"/>
  <c r="A5" i="16"/>
  <c r="A6" i="16"/>
  <c r="A7" i="16"/>
  <c r="D2" i="4"/>
  <c r="D3" i="4"/>
  <c r="D4" i="4"/>
  <c r="E6" i="4"/>
  <c r="F9" i="4"/>
  <c r="A3" i="21" s="1"/>
  <c r="D22" i="4"/>
  <c r="D23" i="4"/>
  <c r="B32" i="4"/>
  <c r="B4" i="6"/>
  <c r="D4" i="6"/>
  <c r="D5" i="6"/>
  <c r="D6" i="6"/>
  <c r="B7" i="6"/>
  <c r="B8" i="6"/>
  <c r="B9" i="6"/>
  <c r="D11" i="6"/>
  <c r="B13" i="6"/>
  <c r="B14" i="6"/>
  <c r="B15" i="6"/>
  <c r="B17" i="6"/>
  <c r="D17" i="6"/>
  <c r="B18" i="6"/>
  <c r="B19" i="6"/>
  <c r="D19" i="6"/>
  <c r="B20" i="6"/>
  <c r="D20" i="6"/>
  <c r="B21" i="6"/>
  <c r="D21" i="6"/>
  <c r="D22" i="6"/>
  <c r="B23" i="6"/>
  <c r="C61" i="6"/>
  <c r="C62" i="6"/>
  <c r="C2" i="9"/>
  <c r="D2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N2" i="9"/>
  <c r="AO2" i="9"/>
  <c r="AP2" i="9"/>
  <c r="AQ2" i="9"/>
  <c r="AR2" i="9"/>
  <c r="AS2" i="9"/>
  <c r="AT2" i="9"/>
  <c r="AU2" i="9"/>
  <c r="AZ2" i="9"/>
  <c r="BA2" i="9"/>
  <c r="BB2" i="9"/>
  <c r="BC2" i="9"/>
  <c r="B5" i="18"/>
  <c r="M5" i="18"/>
  <c r="Q5" i="18"/>
  <c r="T5" i="18"/>
  <c r="T8" i="18" s="1"/>
  <c r="B6" i="18"/>
  <c r="Q6" i="18"/>
  <c r="B7" i="18"/>
  <c r="D7" i="18"/>
  <c r="F7" i="18"/>
  <c r="H7" i="18"/>
  <c r="J7" i="18"/>
  <c r="M7" i="18"/>
  <c r="O7" i="18"/>
  <c r="Q7" i="18"/>
  <c r="A13" i="18"/>
  <c r="F13" i="18"/>
  <c r="G13" i="18"/>
  <c r="G16" i="18" s="1"/>
  <c r="H13" i="18"/>
  <c r="J13" i="18"/>
  <c r="J16" i="18" s="1"/>
  <c r="AD57" i="2" s="1"/>
  <c r="A14" i="18"/>
  <c r="E14" i="18"/>
  <c r="F14" i="18"/>
  <c r="G14" i="18"/>
  <c r="H14" i="18"/>
  <c r="A15" i="18"/>
  <c r="B15" i="18"/>
  <c r="C15" i="18"/>
  <c r="D15" i="18"/>
  <c r="E15" i="18"/>
  <c r="F15" i="18"/>
  <c r="G15" i="18"/>
  <c r="H15" i="18"/>
  <c r="D19" i="18"/>
  <c r="D20" i="18"/>
  <c r="D21" i="18"/>
  <c r="H5" i="2"/>
  <c r="H7" i="2"/>
  <c r="R7" i="2"/>
  <c r="H9" i="2"/>
  <c r="H10" i="2"/>
  <c r="P10" i="2"/>
  <c r="AD12" i="2"/>
  <c r="H13" i="2"/>
  <c r="D45" i="2"/>
  <c r="A13" i="14"/>
  <c r="AE1" i="2"/>
  <c r="A2" i="9" s="1"/>
  <c r="V45" i="2"/>
  <c r="I20" i="2"/>
  <c r="AC4" i="2"/>
  <c r="B2" i="9" s="1"/>
  <c r="B16" i="18"/>
  <c r="AD52" i="2" s="1"/>
  <c r="AM2" i="9"/>
  <c r="AK2" i="9"/>
  <c r="AQ3" i="7"/>
  <c r="D7" i="4"/>
  <c r="B34" i="6" l="1"/>
  <c r="B35" i="6"/>
  <c r="B33" i="6"/>
  <c r="AD66" i="2"/>
  <c r="B32" i="6"/>
  <c r="AY2" i="9"/>
  <c r="B45" i="6"/>
  <c r="E70" i="2"/>
  <c r="H12" i="2"/>
  <c r="B55" i="6"/>
  <c r="B51" i="6"/>
  <c r="B49" i="6"/>
  <c r="E73" i="2"/>
  <c r="B39" i="6"/>
  <c r="E72" i="2"/>
  <c r="O8" i="18"/>
  <c r="H16" i="18"/>
  <c r="C16" i="18"/>
  <c r="AD53" i="2" s="1"/>
  <c r="D8" i="18"/>
  <c r="U52" i="2" s="1"/>
  <c r="M8" i="18"/>
  <c r="B70" i="6"/>
  <c r="AV2" i="9"/>
  <c r="AW2" i="9"/>
  <c r="B38" i="6"/>
  <c r="E16" i="18"/>
  <c r="AD55" i="2" s="1"/>
  <c r="J8" i="18"/>
  <c r="U55" i="2" s="1"/>
  <c r="F8" i="18"/>
  <c r="U53" i="2" s="1"/>
  <c r="B59" i="6"/>
  <c r="D16" i="18"/>
  <c r="AD54" i="2" s="1"/>
  <c r="H8" i="18"/>
  <c r="U54" i="2" s="1"/>
  <c r="F16" i="18"/>
  <c r="A16" i="18"/>
  <c r="AD51" i="2" s="1"/>
  <c r="B8" i="18"/>
  <c r="U51" i="2" s="1"/>
  <c r="AX2" i="9"/>
  <c r="B54" i="6"/>
  <c r="G66" i="2"/>
  <c r="A2" i="21"/>
  <c r="A5" i="21"/>
  <c r="A4" i="21"/>
  <c r="A7" i="21"/>
  <c r="A6" i="21"/>
  <c r="A7" i="14"/>
  <c r="A5" i="14"/>
  <c r="A3" i="14"/>
  <c r="A2" i="14"/>
  <c r="A6" i="14"/>
  <c r="AL2" i="9"/>
  <c r="E69" i="2"/>
  <c r="E71" i="2"/>
  <c r="B68" i="6"/>
  <c r="Q66" i="2"/>
  <c r="P74" i="2"/>
  <c r="B41" i="6"/>
  <c r="B94" i="1"/>
  <c r="B56" i="6"/>
  <c r="B61" i="6"/>
  <c r="B48" i="6"/>
  <c r="B47" i="6"/>
  <c r="B44" i="6"/>
  <c r="K68" i="2"/>
  <c r="K74" i="2" s="1"/>
  <c r="B40" i="6"/>
  <c r="B50" i="6"/>
  <c r="B36" i="6"/>
  <c r="B46" i="6"/>
  <c r="B69" i="6"/>
  <c r="B58" i="6"/>
  <c r="B30" i="6"/>
  <c r="B37" i="6"/>
  <c r="AC72" i="2"/>
  <c r="B31" i="6"/>
  <c r="B43" i="6"/>
  <c r="B52" i="6"/>
  <c r="B63" i="6"/>
  <c r="B64" i="6"/>
  <c r="B28" i="6"/>
  <c r="B72" i="1"/>
  <c r="B42" i="6"/>
  <c r="B86" i="1"/>
  <c r="B53" i="6"/>
  <c r="B66" i="6"/>
  <c r="AD64" i="2"/>
  <c r="G64" i="2"/>
  <c r="R76" i="2"/>
  <c r="Q8" i="18"/>
  <c r="B62" i="6"/>
  <c r="B60" i="6"/>
  <c r="W66" i="2"/>
  <c r="Q64" i="2"/>
  <c r="AC71" i="2" l="1"/>
  <c r="AC70" i="2"/>
  <c r="AC73" i="2"/>
  <c r="AD63" i="2"/>
  <c r="E74" i="2"/>
  <c r="AC74" i="2" s="1"/>
  <c r="AD56" i="2"/>
  <c r="AD58" i="2" s="1"/>
  <c r="AC34" i="2" s="1"/>
  <c r="AC69" i="2"/>
  <c r="R77" i="2"/>
  <c r="Q63" i="2"/>
  <c r="E68" i="2"/>
  <c r="L70" i="1"/>
  <c r="O71" i="1" s="1"/>
  <c r="H76" i="2"/>
  <c r="B27" i="6"/>
  <c r="G63" i="2"/>
  <c r="AJ2" i="9"/>
  <c r="W63" i="2"/>
  <c r="AD65" i="2" l="1"/>
  <c r="Q65" i="2"/>
  <c r="G65" i="2"/>
  <c r="W65" i="2"/>
  <c r="M76" i="2"/>
  <c r="M77" i="2"/>
  <c r="E16" i="2" l="1"/>
  <c r="D14" i="6"/>
  <c r="BN3" i="7"/>
  <c r="W3" i="7"/>
  <c r="AL3" i="7"/>
  <c r="AH3" i="7"/>
  <c r="AO3" i="7"/>
  <c r="BG3" i="7"/>
  <c r="AV3" i="7"/>
  <c r="AR3" i="7"/>
  <c r="D6" i="4"/>
  <c r="AW3" i="7"/>
  <c r="U3" i="7"/>
  <c r="AE3" i="7"/>
  <c r="D5" i="4"/>
  <c r="D10" i="4"/>
  <c r="O3" i="7"/>
  <c r="AY3" i="7"/>
  <c r="BB3" i="7"/>
  <c r="AK3" i="7"/>
  <c r="AC3" i="7"/>
  <c r="BH3" i="7"/>
  <c r="AP3" i="7"/>
  <c r="E5" i="4"/>
  <c r="BR3" i="7"/>
  <c r="N3" i="7"/>
  <c r="BF3" i="7"/>
  <c r="BI3" i="7"/>
  <c r="L3" i="7"/>
  <c r="AX3" i="7"/>
  <c r="D36" i="4"/>
  <c r="BE3" i="7"/>
  <c r="AA3" i="7"/>
  <c r="BQ3" i="7"/>
  <c r="AU3" i="7"/>
  <c r="BJ3" i="7"/>
  <c r="BS3" i="7"/>
  <c r="R3" i="7"/>
  <c r="J3" i="7"/>
  <c r="BP3" i="7"/>
  <c r="AN3" i="7"/>
  <c r="AZ3" i="7"/>
  <c r="BC3" i="7"/>
  <c r="Q3" i="7"/>
  <c r="BA3" i="7"/>
  <c r="D34" i="4"/>
  <c r="D30" i="4"/>
  <c r="K3" i="7"/>
  <c r="AJ3" i="7"/>
  <c r="BM3" i="7"/>
  <c r="AD3" i="7"/>
  <c r="D35" i="4"/>
  <c r="BO3" i="7"/>
  <c r="Z3" i="7"/>
  <c r="T3" i="7"/>
  <c r="V3" i="7"/>
  <c r="Y3" i="7"/>
  <c r="S3" i="7"/>
  <c r="BU3" i="7"/>
  <c r="D8" i="4"/>
  <c r="BD3" i="7"/>
  <c r="BT3" i="7"/>
  <c r="AT3" i="7"/>
  <c r="AI3" i="7"/>
  <c r="BL3" i="7"/>
  <c r="BK3" i="7"/>
  <c r="AS3" i="7"/>
  <c r="D9" i="4"/>
  <c r="X3" i="7"/>
  <c r="AB3" i="7"/>
  <c r="M3" i="7"/>
  <c r="D9" i="6" l="1"/>
  <c r="W11" i="2"/>
  <c r="L47" i="2"/>
  <c r="U16" i="2"/>
  <c r="E9" i="4"/>
  <c r="U15" i="2"/>
  <c r="D15" i="6"/>
  <c r="H11" i="2"/>
  <c r="AF3" i="7"/>
  <c r="AG3" i="7"/>
  <c r="P14" i="2" l="1"/>
  <c r="K8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<sst xmlns="http://schemas.openxmlformats.org/spreadsheetml/2006/main" count="1583" uniqueCount="942">
  <si>
    <t>sstgeu1jahr</t>
  </si>
  <si>
    <t>sstgeu2jahr</t>
  </si>
  <si>
    <t>sstgeu3jahr</t>
  </si>
  <si>
    <t>sstgeuges</t>
  </si>
  <si>
    <t>sstgoef1jahr</t>
  </si>
  <si>
    <t>=Anmeldeformular2012!$P$67</t>
  </si>
  <si>
    <t>sstgoef2jahr</t>
  </si>
  <si>
    <t>sstgoef3jahr</t>
  </si>
  <si>
    <t>=Anmeldeformular2012!$V$67</t>
  </si>
  <si>
    <t>sstgoefges</t>
  </si>
  <si>
    <t>=Anmeldeformular2012!$M$67</t>
  </si>
  <si>
    <t>=Anmeldeformular2012!$L$15</t>
  </si>
  <si>
    <t>=Anmeldeformular2012!$G$15</t>
  </si>
  <si>
    <t>=Anmeldeformular2012!$B$11</t>
  </si>
  <si>
    <t>=Anmeldeformular2012!$F$50</t>
  </si>
  <si>
    <t>=Anmeldeformular2012!$P$69</t>
  </si>
  <si>
    <t>tngeb2jahr</t>
  </si>
  <si>
    <t>tngeb3jahr</t>
  </si>
  <si>
    <t>=Anmeldeformular2012!$V$69</t>
  </si>
  <si>
    <t>TNgebges</t>
  </si>
  <si>
    <t>=Anmeldeformular2012!$M$69</t>
  </si>
  <si>
    <t>=Anmeldeformular2012!$F$49</t>
  </si>
  <si>
    <t>TNrlpauswahl</t>
  </si>
  <si>
    <t>=Anmeldeformular2012!$P$13</t>
  </si>
  <si>
    <t>=Anmeldeformular2012!$L$13</t>
  </si>
  <si>
    <t>=Anmeldeformular2012!$B$13</t>
  </si>
  <si>
    <t>=Anmeldeformular2012!$B$15</t>
  </si>
  <si>
    <t>=Auswahl!$D$10</t>
  </si>
  <si>
    <t>=ZG!$A$1:$A$11</t>
  </si>
  <si>
    <t>=Anmeldeformular2012!$M$70</t>
  </si>
  <si>
    <t>zuschussag1jahr</t>
  </si>
  <si>
    <t>=Anmeldeformular2012!$P$70</t>
  </si>
  <si>
    <t>zuschussag2jahr</t>
  </si>
  <si>
    <t>zuschussag3jahr</t>
  </si>
  <si>
    <t>=Anmeldeformular2012!$V$70</t>
  </si>
  <si>
    <t>siehe Erläuterung im Feld "Anmerkung Beratung"</t>
  </si>
  <si>
    <t>Summe</t>
  </si>
  <si>
    <t>Gesamtpunkte:</t>
  </si>
  <si>
    <t>Empfehlung Beratung:</t>
  </si>
  <si>
    <t>PLZ</t>
  </si>
  <si>
    <t>Ort</t>
  </si>
  <si>
    <t>Fax</t>
  </si>
  <si>
    <t>Laufzeit</t>
  </si>
  <si>
    <t>Durchführung</t>
  </si>
  <si>
    <t>davon männlich</t>
  </si>
  <si>
    <t>davon weiblich</t>
  </si>
  <si>
    <t>Name</t>
  </si>
  <si>
    <t>Zielgruppe</t>
  </si>
  <si>
    <t>Anrede</t>
  </si>
  <si>
    <t>Tel.</t>
  </si>
  <si>
    <t>E-Mail</t>
  </si>
  <si>
    <t>ed, wd</t>
  </si>
  <si>
    <t>Beginn</t>
  </si>
  <si>
    <t>Ende</t>
  </si>
  <si>
    <t>Stdt. Pirmasens</t>
  </si>
  <si>
    <t>Lkr. Cochem-Zell</t>
  </si>
  <si>
    <t>Lkr. Neuwied</t>
  </si>
  <si>
    <t>Stdt. Trier</t>
  </si>
  <si>
    <t>Lkr. Bernkastel-Wittlich</t>
  </si>
  <si>
    <t>Lkr. Trier-Saarburg</t>
  </si>
  <si>
    <t>Stdt. Kaiserslautern</t>
  </si>
  <si>
    <t>Stdt. Speyer</t>
  </si>
  <si>
    <t>Stdt. Worms</t>
  </si>
  <si>
    <t>Lkr. Alzey-Worms</t>
  </si>
  <si>
    <t>Lkr. Bad Dürkheim</t>
  </si>
  <si>
    <t>Lkr. Kaiserslautern</t>
  </si>
  <si>
    <t>Lkr. Kusel</t>
  </si>
  <si>
    <t>Lkr. Mainz-Bingen</t>
  </si>
  <si>
    <t>Lkr. Mayen-Koblenz</t>
  </si>
  <si>
    <t>Stdt. Koblenz</t>
  </si>
  <si>
    <t>Lkr. Südwestpfalz</t>
  </si>
  <si>
    <t xml:space="preserve">Anz. TN </t>
  </si>
  <si>
    <t>TN        m</t>
  </si>
  <si>
    <t>TN
w</t>
  </si>
  <si>
    <t>Kreis d. Durchführ.</t>
  </si>
  <si>
    <t>Gesamt</t>
  </si>
  <si>
    <t>Gesamtsumme</t>
  </si>
  <si>
    <t>Lkr. Ahrweiler</t>
  </si>
  <si>
    <t>Lkr. Bad Kreuznach</t>
  </si>
  <si>
    <t>Lkr. Birkenfeld</t>
  </si>
  <si>
    <t>Lkr. Germersheim</t>
  </si>
  <si>
    <t>Lkr. Südliche Weinstraße</t>
  </si>
  <si>
    <t>Stdt. Landau in der Pfalz</t>
  </si>
  <si>
    <t>Stdt. Ludwigshafen am Rhein</t>
  </si>
  <si>
    <t>Stdt. Zweibrücken</t>
  </si>
  <si>
    <t>Stdt. Neustadt/W.</t>
  </si>
  <si>
    <t>Träger</t>
  </si>
  <si>
    <t>Konzept</t>
  </si>
  <si>
    <t>Stdt. Mainz</t>
  </si>
  <si>
    <t>Prio</t>
  </si>
  <si>
    <t>Straße</t>
  </si>
  <si>
    <t>bis      25 J.</t>
  </si>
  <si>
    <t>über 25 J.</t>
  </si>
  <si>
    <t>Hauptziel-gruppen</t>
  </si>
  <si>
    <t>lfd. Nr</t>
  </si>
  <si>
    <t>Vorname</t>
  </si>
  <si>
    <t>Finanzierungsplan</t>
  </si>
  <si>
    <t>Vermittlung</t>
  </si>
  <si>
    <t>Berufsorientierung</t>
  </si>
  <si>
    <t>2011</t>
  </si>
  <si>
    <t>2012</t>
  </si>
  <si>
    <t>SH</t>
  </si>
  <si>
    <t>Lkr. Altenkirchen</t>
  </si>
  <si>
    <t>Rhein-Pfalz-Kreis</t>
  </si>
  <si>
    <t>Rhein-Hunsrück-Kreis</t>
  </si>
  <si>
    <t>Rhein-Lahn-Kreis</t>
  </si>
  <si>
    <t>Stdt. Frankenthal</t>
  </si>
  <si>
    <t>Prio-Achse</t>
  </si>
  <si>
    <t>2010</t>
  </si>
  <si>
    <t>Landkreis/Stadt der Durchführung</t>
  </si>
  <si>
    <t>lfd Nr</t>
  </si>
  <si>
    <t>Name:</t>
  </si>
  <si>
    <t xml:space="preserve">Ansprechpartner/in: </t>
  </si>
  <si>
    <t>Kontakt:</t>
  </si>
  <si>
    <t xml:space="preserve">Tel.: </t>
  </si>
  <si>
    <t xml:space="preserve">E-Mail: </t>
  </si>
  <si>
    <t>Titel:</t>
  </si>
  <si>
    <t>Laufzeit:</t>
  </si>
  <si>
    <t>Beginn:</t>
  </si>
  <si>
    <t>Ende:</t>
  </si>
  <si>
    <t xml:space="preserve">Durchführungsort: </t>
  </si>
  <si>
    <t>aus RLP:</t>
  </si>
  <si>
    <t xml:space="preserve">geplante Fördermittel: </t>
  </si>
  <si>
    <t xml:space="preserve">Zielgruppe: </t>
  </si>
  <si>
    <t>Beginndatum korrekt:</t>
  </si>
  <si>
    <t xml:space="preserve">ja: </t>
  </si>
  <si>
    <t xml:space="preserve">nein: </t>
  </si>
  <si>
    <t>ja:</t>
  </si>
  <si>
    <t>nein:</t>
  </si>
  <si>
    <t>Träger:</t>
  </si>
  <si>
    <t>entspricht dem Aufruf:</t>
  </si>
  <si>
    <t>(Regionaler) Bedarf:</t>
  </si>
  <si>
    <t>Gesamtbewertung:</t>
  </si>
  <si>
    <t>nachbessern</t>
  </si>
  <si>
    <t>Verketten</t>
  </si>
  <si>
    <t>Programmlinie explizit nicht im Aufruf</t>
  </si>
  <si>
    <t>nicht förderfähig im Sinne der AMP in RLP</t>
  </si>
  <si>
    <t>durch (regionalen) Kooperationspartner bestätigt</t>
  </si>
  <si>
    <t>Teilnehmende</t>
  </si>
  <si>
    <t>TN -Migration</t>
  </si>
  <si>
    <t>Herrn</t>
  </si>
  <si>
    <t>am</t>
  </si>
  <si>
    <t xml:space="preserve">Sie haben im Finanzierungsplan folgende </t>
  </si>
  <si>
    <t>Konzept - Ranking - Punkte</t>
  </si>
  <si>
    <t>Begründung bei "nein"</t>
  </si>
  <si>
    <t>nicht erfüllt</t>
  </si>
  <si>
    <t>RB</t>
  </si>
  <si>
    <t xml:space="preserve">lfd. Nr. </t>
  </si>
  <si>
    <t>Dokumentationsbogen</t>
  </si>
  <si>
    <t>Kosten- gesamt</t>
  </si>
  <si>
    <t>Kofi- gesamt</t>
  </si>
  <si>
    <t>Förderung- gesamt</t>
  </si>
  <si>
    <t>Gesamtkosten</t>
  </si>
  <si>
    <t>alle Angaben in Euro</t>
  </si>
  <si>
    <t>je Monat</t>
  </si>
  <si>
    <t>je TN</t>
  </si>
  <si>
    <t>je TN/M</t>
  </si>
  <si>
    <t>Rahmenbedingungen</t>
  </si>
  <si>
    <t>Punkte</t>
  </si>
  <si>
    <t>Korr. Prio-Achse</t>
  </si>
  <si>
    <t>Eingang</t>
  </si>
  <si>
    <t>HSOB</t>
  </si>
  <si>
    <t>Titel</t>
  </si>
  <si>
    <t xml:space="preserve">Ansprechperson zu diesem Projekt: </t>
  </si>
  <si>
    <t>ESF-Mittel gesamt</t>
  </si>
  <si>
    <t>MASGFF gesamt</t>
  </si>
  <si>
    <t>Angemeldetes Projekt:</t>
  </si>
  <si>
    <t>Projektdaten lt. Anmeldung:</t>
  </si>
  <si>
    <t>Kann das Projekt zur Antragstellung empfohlen werden?</t>
  </si>
  <si>
    <t>Projekttitel</t>
  </si>
  <si>
    <t>Aktion</t>
  </si>
  <si>
    <t>FÖ-An.</t>
  </si>
  <si>
    <t>Korr. Aktion</t>
  </si>
  <si>
    <t>Über 45</t>
  </si>
  <si>
    <t>Fördersummen:</t>
  </si>
  <si>
    <t>gesamt</t>
  </si>
  <si>
    <t>Aktive Kofi</t>
  </si>
  <si>
    <t xml:space="preserve">Bewertung durch das Auswahlgremium am: </t>
  </si>
  <si>
    <t>Die Entscheidung des Auswahlgremiums ist</t>
  </si>
  <si>
    <t>Gesamtfinanzierung wegen fehlender nationaler Kofinanzierungsmittel nicht sicher gestellt.</t>
  </si>
  <si>
    <t>Inhalte</t>
  </si>
  <si>
    <t>Projektstruktur</t>
  </si>
  <si>
    <t>Kontakte/ Kooperationen</t>
  </si>
  <si>
    <t>Besonderes Merkmal</t>
  </si>
  <si>
    <t>Vorgelegte Beschreibung bzgl.</t>
  </si>
  <si>
    <t>Anmerkung Beratung</t>
  </si>
  <si>
    <t>Projektbewertung:</t>
  </si>
  <si>
    <t xml:space="preserve">   </t>
  </si>
  <si>
    <t xml:space="preserve">erfüllt </t>
  </si>
  <si>
    <t>keine Angaben</t>
  </si>
  <si>
    <t>Kontakte</t>
  </si>
  <si>
    <t>bes.Merkmal</t>
  </si>
  <si>
    <t>P-fortschritt</t>
  </si>
  <si>
    <t>(Sehr) gut</t>
  </si>
  <si>
    <t>unzureichend erhebl.Defizite</t>
  </si>
  <si>
    <t>Gute Ansätze, aber ungenau</t>
  </si>
  <si>
    <t>Messung Fortschritt u. Egebniskontrolle</t>
  </si>
  <si>
    <t>tel.</t>
  </si>
  <si>
    <t>Plätze/gesamt</t>
  </si>
  <si>
    <t>sonstige öffentliche Mittel</t>
  </si>
  <si>
    <t>Eigenmittel Träger</t>
  </si>
  <si>
    <t>Teilnehmendengebühren</t>
  </si>
  <si>
    <t>Institution</t>
  </si>
  <si>
    <t>Erfasser</t>
  </si>
  <si>
    <t>AnmeldeNummer</t>
  </si>
  <si>
    <t>EurekaRLPnummer</t>
  </si>
  <si>
    <t>Berater</t>
  </si>
  <si>
    <t>GeK</t>
  </si>
  <si>
    <t>Migrat</t>
  </si>
  <si>
    <t>Angaben zur Leitung</t>
  </si>
  <si>
    <t>Akkreditierung</t>
  </si>
  <si>
    <t>AZvorprojekt</t>
  </si>
  <si>
    <t>A</t>
  </si>
  <si>
    <t>Angaben zum Projekt</t>
  </si>
  <si>
    <t>B</t>
  </si>
  <si>
    <t>C</t>
  </si>
  <si>
    <t>D</t>
  </si>
  <si>
    <t>Projektkonzept</t>
  </si>
  <si>
    <t>=Anmeldeformular2012!$S$71</t>
  </si>
  <si>
    <t>=Intern!$B$3</t>
  </si>
  <si>
    <t>=Intern!$C$3</t>
  </si>
  <si>
    <t>Bearbeiter</t>
  </si>
  <si>
    <t>=Intern!#BEZUG!</t>
  </si>
  <si>
    <t>eigen1jahr</t>
  </si>
  <si>
    <t>eigen2jahr</t>
  </si>
  <si>
    <t>=Anmeldeformular2012!$S$69</t>
  </si>
  <si>
    <t>eigen3jahr</t>
  </si>
  <si>
    <t>=Anmeldeformular2012!$S$72</t>
  </si>
  <si>
    <t>=Intern!$A$3</t>
  </si>
  <si>
    <t>FehlendeAngaben</t>
  </si>
  <si>
    <t>=Check!$C$1</t>
  </si>
  <si>
    <t>kopass1jahr</t>
  </si>
  <si>
    <t>kopass2jahr</t>
  </si>
  <si>
    <t>kopass3jahr</t>
  </si>
  <si>
    <t>kopassGesamt</t>
  </si>
  <si>
    <t>=Anmeldeformular2012!$S$65</t>
  </si>
  <si>
    <t>ltgname</t>
  </si>
  <si>
    <t>ltgvorname</t>
  </si>
  <si>
    <t>Nummer</t>
  </si>
  <si>
    <t>PNaktivkofi</t>
  </si>
  <si>
    <t>=Anmeldeformular2012!$S$66</t>
  </si>
  <si>
    <t>=Anmeldeformular2012!$S$73</t>
  </si>
  <si>
    <t>=Anmeldeformular2012!$S$67</t>
  </si>
  <si>
    <t>TNgeb1jahr</t>
  </si>
  <si>
    <t>=Anmeldeformular2012!$S$70</t>
  </si>
  <si>
    <t>Ttel</t>
  </si>
  <si>
    <t>AKAuswahl</t>
  </si>
  <si>
    <t>edwdAuswahl</t>
  </si>
  <si>
    <t xml:space="preserve">Fax </t>
  </si>
  <si>
    <t>Anzahl/ gesamt</t>
  </si>
  <si>
    <t>Tname</t>
  </si>
  <si>
    <t>Teurekanr</t>
  </si>
  <si>
    <t>Ptitel</t>
  </si>
  <si>
    <t>Tstraße</t>
  </si>
  <si>
    <t>Tplz</t>
  </si>
  <si>
    <t>Tort</t>
  </si>
  <si>
    <t>Ltganrede</t>
  </si>
  <si>
    <t>Tfax</t>
  </si>
  <si>
    <t>TNwbl</t>
  </si>
  <si>
    <t>TNml</t>
  </si>
  <si>
    <t>TNu25</t>
  </si>
  <si>
    <t>TNue25</t>
  </si>
  <si>
    <t>FAnsatzListe</t>
  </si>
  <si>
    <t>PAchseAuswahl1</t>
  </si>
  <si>
    <t>PAchseAuswahl2</t>
  </si>
  <si>
    <t>PAchseAuswahl3</t>
  </si>
  <si>
    <t>PAchseAuswahl4</t>
  </si>
  <si>
    <t>Bitte erst Prioritätsachse auswählen</t>
  </si>
  <si>
    <t>PAchseListe</t>
  </si>
  <si>
    <t>AktionListe</t>
  </si>
  <si>
    <t>Typ</t>
  </si>
  <si>
    <t>Auswahl</t>
  </si>
  <si>
    <t>Wert</t>
  </si>
  <si>
    <t>Gkliste</t>
  </si>
  <si>
    <t>Pachseliste</t>
  </si>
  <si>
    <t>Aktionliste</t>
  </si>
  <si>
    <t>Plstgliste</t>
  </si>
  <si>
    <t>Zgliste</t>
  </si>
  <si>
    <t>Pachseauswahl</t>
  </si>
  <si>
    <t>Aktionauswahl</t>
  </si>
  <si>
    <t>Pkauswahl</t>
  </si>
  <si>
    <t>aBund</t>
  </si>
  <si>
    <t>Akauswahl</t>
  </si>
  <si>
    <t>=Auswahl!$C$2</t>
  </si>
  <si>
    <t>=Auswahl!$C$6</t>
  </si>
  <si>
    <t>=Aktion!$A$2:$A$6</t>
  </si>
  <si>
    <t>Anspranrede</t>
  </si>
  <si>
    <t>ansprmail</t>
  </si>
  <si>
    <t>Ansprname</t>
  </si>
  <si>
    <t>ansprvorname</t>
  </si>
  <si>
    <t>=Anmeldeformular2012!$AA$35</t>
  </si>
  <si>
    <t>=Anmeldeformular2012!$B$34</t>
  </si>
  <si>
    <t>=Auswahl!$C$3</t>
  </si>
  <si>
    <t>=Anmeldeformular2012!$F$34</t>
  </si>
  <si>
    <t>=Auswahl!$C$7</t>
  </si>
  <si>
    <t>GKAuswahl</t>
  </si>
  <si>
    <t>=Auswahl!$C$4</t>
  </si>
  <si>
    <t>GKListe</t>
  </si>
  <si>
    <t>=GK!$A$1:$A$38</t>
  </si>
  <si>
    <t>=Anmeldeformular2012!$V$64</t>
  </si>
  <si>
    <t>LDKom</t>
  </si>
  <si>
    <t>=Auswahl!$C$5</t>
  </si>
  <si>
    <t>=Pachse!$A$2:$A$5</t>
  </si>
  <si>
    <t>=Auswahl!$C$11</t>
  </si>
  <si>
    <t>PKliste</t>
  </si>
  <si>
    <t>=PK!$A$1:$A$3</t>
  </si>
  <si>
    <t>PkostAG</t>
  </si>
  <si>
    <t>PlstgAuswahl</t>
  </si>
  <si>
    <t>=Auswahl!$C$8</t>
  </si>
  <si>
    <t>PlstgListe</t>
  </si>
  <si>
    <t>=Plstg!$A$1:$A$14</t>
  </si>
  <si>
    <t>=Anmeldeformular2012!$P$34</t>
  </si>
  <si>
    <t>=Anmeldeformular2012!$B$31</t>
  </si>
  <si>
    <t>=Auswahl!$C$10</t>
  </si>
  <si>
    <t>=Anmeldeformular2012!$S$68</t>
  </si>
  <si>
    <t>=Anmeldeformular2012!$S$74</t>
  </si>
  <si>
    <t>Temail</t>
  </si>
  <si>
    <t>TNanz</t>
  </si>
  <si>
    <t>=Anmeldeformular2012!$F$52</t>
  </si>
  <si>
    <t>TNbes</t>
  </si>
  <si>
    <t>=Anmeldeformular2012!$F$54</t>
  </si>
  <si>
    <t>TNpl</t>
  </si>
  <si>
    <t>=Anmeldeformular2012!$F$51</t>
  </si>
  <si>
    <t>=Anmeldeformular2012!$F$55</t>
  </si>
  <si>
    <t>=Anmeldeformular2012!$F$56</t>
  </si>
  <si>
    <t>TNue45</t>
  </si>
  <si>
    <t>=Anmeldeformular2012!$F$53</t>
  </si>
  <si>
    <t>ZGauswahl</t>
  </si>
  <si>
    <t>=Auswahl!$C$9</t>
  </si>
  <si>
    <t>ZGliste</t>
  </si>
  <si>
    <t>Fansatzliste</t>
  </si>
  <si>
    <t>Option</t>
  </si>
  <si>
    <t>Liste</t>
  </si>
  <si>
    <t>Tnpl</t>
  </si>
  <si>
    <t>Tnanz</t>
  </si>
  <si>
    <t>GEK</t>
  </si>
  <si>
    <t>Fansatz</t>
  </si>
  <si>
    <t>öffentliche Mittel</t>
  </si>
  <si>
    <t>Chancengleichheitauswahl</t>
  </si>
  <si>
    <t>Nachhaltigoekoloauswahl</t>
  </si>
  <si>
    <t>Transnationalauswahl</t>
  </si>
  <si>
    <t>Nachhaltigoekoauswahl</t>
  </si>
  <si>
    <t>Kostges</t>
  </si>
  <si>
    <t>Kost1Jahr</t>
  </si>
  <si>
    <t>Kost2Jahr</t>
  </si>
  <si>
    <t>Ansprechperson zum Projekt</t>
  </si>
  <si>
    <t>Anzahl gesamt</t>
  </si>
  <si>
    <t>Plätze gesamt</t>
  </si>
  <si>
    <t>aktivkofi</t>
  </si>
  <si>
    <t>aktivesf</t>
  </si>
  <si>
    <t>aktivmsagd</t>
  </si>
  <si>
    <t>Pnrvorgaenger</t>
  </si>
  <si>
    <t>ZG</t>
  </si>
  <si>
    <t>Plstg</t>
  </si>
  <si>
    <t>lfd.Nr.</t>
  </si>
  <si>
    <t>TNRLPauswahl</t>
  </si>
  <si>
    <t>Maßn.z.Entschuldung</t>
  </si>
  <si>
    <t>Europa und Ich</t>
  </si>
  <si>
    <t>Dokubogen</t>
  </si>
  <si>
    <t>Prioauswahl</t>
  </si>
  <si>
    <t>Kofinanzierungen</t>
  </si>
  <si>
    <t xml:space="preserve">Mit wem haben Sie wegen der Kofinanzierung gesprochen? </t>
  </si>
  <si>
    <t>Fristgerechter Eingang:</t>
  </si>
  <si>
    <t xml:space="preserve">Die Anmeldung wird zurückgestellt:  </t>
  </si>
  <si>
    <t>Prio2auswahl</t>
  </si>
  <si>
    <t>Punkte:</t>
  </si>
  <si>
    <t xml:space="preserve">Konzeptbewertung (Übertrag v. Seite 2): </t>
  </si>
  <si>
    <t>Bewertung BS</t>
  </si>
  <si>
    <t>Finanzierungsdaten</t>
  </si>
  <si>
    <t xml:space="preserve">     bestätigt durch</t>
  </si>
  <si>
    <t>Bedarfbest</t>
  </si>
  <si>
    <t>vorhanden:</t>
  </si>
  <si>
    <t xml:space="preserve">Bewertung vorgenommen von  </t>
  </si>
  <si>
    <t>=Anmeldeformular2012!$E$63</t>
  </si>
  <si>
    <t>abund1jahr</t>
  </si>
  <si>
    <t>=Anmeldeformular2012!$P$63</t>
  </si>
  <si>
    <t>abund2jahr</t>
  </si>
  <si>
    <t>=Anmeldeformular2012!$S$63</t>
  </si>
  <si>
    <t>abund3jahr</t>
  </si>
  <si>
    <t>=Anmeldeformular2012!$V$63</t>
  </si>
  <si>
    <t>abundges</t>
  </si>
  <si>
    <t>=Anmeldeformular2012!$M$63</t>
  </si>
  <si>
    <t>=Auswahl!$D$7</t>
  </si>
  <si>
    <t>=Anmeldeformular2012!$AC$80</t>
  </si>
  <si>
    <t>=Anmeldeformular2012!$AC$79</t>
  </si>
  <si>
    <t>=Anmeldeformular2012!$AC$81</t>
  </si>
  <si>
    <t>=Anmeldeformular2012!$B$21</t>
  </si>
  <si>
    <t>=Anmeldeformular2012!$L$23</t>
  </si>
  <si>
    <t>=Anmeldeformular2012!$F$21</t>
  </si>
  <si>
    <t>ansprtel</t>
  </si>
  <si>
    <t>=Anmeldeformular2012!$B$23</t>
  </si>
  <si>
    <t>=Anmeldeformular2012!$Q$21</t>
  </si>
  <si>
    <t>Ba1jahr</t>
  </si>
  <si>
    <t>=Anmeldeformular2012!$P$62</t>
  </si>
  <si>
    <t>ba2jahr</t>
  </si>
  <si>
    <t>=Anmeldeformular2012!$S$62</t>
  </si>
  <si>
    <t>ba3jahr</t>
  </si>
  <si>
    <t>=Anmeldeformular2012!$V$62</t>
  </si>
  <si>
    <t>BAges</t>
  </si>
  <si>
    <t>=Anmeldeformular2012!$M$62</t>
  </si>
  <si>
    <t>Bedarfbestauswahl</t>
  </si>
  <si>
    <t>Bedarfbestliste</t>
  </si>
  <si>
    <t>BewertungBS</t>
  </si>
  <si>
    <t>=Auswahl!$C$29</t>
  </si>
  <si>
    <t>Bewertungspunkte</t>
  </si>
  <si>
    <t>=Auswahl!$C$16</t>
  </si>
  <si>
    <t>=Anmeldeformular2012!$P$68</t>
  </si>
  <si>
    <t>=Anmeldeformular2012!$V$68</t>
  </si>
  <si>
    <t>eigenges</t>
  </si>
  <si>
    <t>=Anmeldeformular2012!$M$68</t>
  </si>
  <si>
    <t>=Anmeldeformular2012!$AA$15</t>
  </si>
  <si>
    <t>einnahmen1jahr</t>
  </si>
  <si>
    <t>=Anmeldeformular2012!$P$73</t>
  </si>
  <si>
    <t>einnahmen2jahr</t>
  </si>
  <si>
    <t>einnahmen3jahr</t>
  </si>
  <si>
    <t>=Anmeldeformular2012!$V$73</t>
  </si>
  <si>
    <t>einnahmenges</t>
  </si>
  <si>
    <t>=Anmeldeformular2012!$M$73</t>
  </si>
  <si>
    <t>entgelttn1jahr</t>
  </si>
  <si>
    <t>=Anmeldeformular2012!$P$71</t>
  </si>
  <si>
    <t>entgelttn2jahr</t>
  </si>
  <si>
    <t>entgelttn3jahr</t>
  </si>
  <si>
    <t>=Anmeldeformular2012!$V$71</t>
  </si>
  <si>
    <t>entgeltTNges</t>
  </si>
  <si>
    <t>=Anmeldeformular2012!$M$71</t>
  </si>
  <si>
    <t>Entschuldung</t>
  </si>
  <si>
    <t>=Auswahl!$C$22</t>
  </si>
  <si>
    <t>esf1jahr</t>
  </si>
  <si>
    <t>=Anmeldeformular2012!$P$74</t>
  </si>
  <si>
    <t>esf2jahr</t>
  </si>
  <si>
    <t>esf3jahr</t>
  </si>
  <si>
    <t>=Anmeldeformular2012!$V$74</t>
  </si>
  <si>
    <t>esfges</t>
  </si>
  <si>
    <t>=Anmeldeformular2012!$M$74</t>
  </si>
  <si>
    <t>EuropaIch</t>
  </si>
  <si>
    <t>=Auswahl!$D$8</t>
  </si>
  <si>
    <t>=FAnsatz!$A$2:$A$12</t>
  </si>
  <si>
    <t>Foeauswahl</t>
  </si>
  <si>
    <t>Foed1jahr</t>
  </si>
  <si>
    <t>=Intern!$AY$3</t>
  </si>
  <si>
    <t>foed2jahr</t>
  </si>
  <si>
    <t>=Intern!$AZ$3</t>
  </si>
  <si>
    <t>foed3jahr</t>
  </si>
  <si>
    <t>=Intern!$BA$3</t>
  </si>
  <si>
    <t>Foedges</t>
  </si>
  <si>
    <t>=Intern!$AX$3</t>
  </si>
  <si>
    <t>=Auswahl!$D$5</t>
  </si>
  <si>
    <t>=Anmeldeformular2012!#BEZUG!</t>
  </si>
  <si>
    <t>intervesf</t>
  </si>
  <si>
    <t>=Anmeldeformular2012!$AC$74</t>
  </si>
  <si>
    <t>intervmsagd</t>
  </si>
  <si>
    <t>=Anmeldeformular2012!$AC$73</t>
  </si>
  <si>
    <t>=Anmeldeformular2012!$L$80</t>
  </si>
  <si>
    <t>kofi1jahr</t>
  </si>
  <si>
    <t>=Intern!$BC$3</t>
  </si>
  <si>
    <t>kofi2jahr</t>
  </si>
  <si>
    <t>=Intern!$BD$3</t>
  </si>
  <si>
    <t>kofi3jahr</t>
  </si>
  <si>
    <t>kofiges</t>
  </si>
  <si>
    <t>=Intern!$BB$3</t>
  </si>
  <si>
    <t>kofigesamt</t>
  </si>
  <si>
    <t>=Anmeldeformular2012!$K$79</t>
  </si>
  <si>
    <t>=Anmeldeformular2012!$L$81</t>
  </si>
  <si>
    <t>Kost1jahr</t>
  </si>
  <si>
    <t>=Anmeldeformular2012!$P$61</t>
  </si>
  <si>
    <t>Kost2jahr</t>
  </si>
  <si>
    <t>=Anmeldeformular2012!$S$61</t>
  </si>
  <si>
    <t>Kost3jahr</t>
  </si>
  <si>
    <t>=Anmeldeformular2012!$V$61</t>
  </si>
  <si>
    <t>kostges</t>
  </si>
  <si>
    <t>=Anmeldeformular2012!$M$61</t>
  </si>
  <si>
    <t>landkom1jahr</t>
  </si>
  <si>
    <t>=Anmeldeformular2012!$P$64</t>
  </si>
  <si>
    <t>landkom2jahr</t>
  </si>
  <si>
    <t>=Anmeldeformular2012!$S$64</t>
  </si>
  <si>
    <t>landkomges</t>
  </si>
  <si>
    <t>=Anmeldeformular2012!$M$64</t>
  </si>
  <si>
    <t>lankom3jahr</t>
  </si>
  <si>
    <t>=Anmeldeformular2012!$E$64</t>
  </si>
  <si>
    <t>=Anmeldeformular2012!$B$18</t>
  </si>
  <si>
    <t>=Anmeldeformular2012!$F$18</t>
  </si>
  <si>
    <t>=Anmeldeformular2012!$Q$18</t>
  </si>
  <si>
    <t>=Anmeldeformular2012!$H$55</t>
  </si>
  <si>
    <t>msagd1jahr</t>
  </si>
  <si>
    <t>=Anmeldeformular2012!$P$65</t>
  </si>
  <si>
    <t>msagd2jahr</t>
  </si>
  <si>
    <t>msagd3jahr</t>
  </si>
  <si>
    <t>=Anmeldeformular2012!$V$65</t>
  </si>
  <si>
    <t>MSAGDges</t>
  </si>
  <si>
    <t>=Anmeldeformular2012!$M$65</t>
  </si>
  <si>
    <t>=Auswahl!$C$17</t>
  </si>
  <si>
    <t>=Auswahl!$C$18</t>
  </si>
  <si>
    <t>Nachhaltigsozialauswahl</t>
  </si>
  <si>
    <t>=Auswahl!$C$19</t>
  </si>
  <si>
    <t>=Anmeldeformular2012!$AD$10</t>
  </si>
  <si>
    <t>Pachse</t>
  </si>
  <si>
    <t>=Auswahl!$D$6</t>
  </si>
  <si>
    <t>PK</t>
  </si>
  <si>
    <t>=Anmeldeformular2012!$E$70</t>
  </si>
  <si>
    <t>=Auswahl!$D$9</t>
  </si>
  <si>
    <t>=Auswahl!$C$28</t>
  </si>
  <si>
    <t>=Auswahl!$C$27</t>
  </si>
  <si>
    <t>=Auswahl!$D$11</t>
  </si>
  <si>
    <t>sgbII1jahr</t>
  </si>
  <si>
    <t>=Anmeldeformular2012!$P$66</t>
  </si>
  <si>
    <t>sgbII2jahr</t>
  </si>
  <si>
    <t>sgbII3jahr</t>
  </si>
  <si>
    <t>=Anmeldeformular2012!$V$66</t>
  </si>
  <si>
    <t>SgbIIges</t>
  </si>
  <si>
    <t>=Anmeldeformular2012!$M$66</t>
  </si>
  <si>
    <t>spenden1jahr</t>
  </si>
  <si>
    <t>=Anmeldeformular2012!$P$72</t>
  </si>
  <si>
    <t>spenden2jahr</t>
  </si>
  <si>
    <t>spenden3jahr</t>
  </si>
  <si>
    <t>=Anmeldeformular2012!$V$72</t>
  </si>
  <si>
    <t>spendenges</t>
  </si>
  <si>
    <t>=Anmeldeformular2012!$M$72</t>
  </si>
  <si>
    <t>edwd</t>
  </si>
  <si>
    <t>Berat</t>
  </si>
  <si>
    <t>Beraterliste</t>
  </si>
  <si>
    <t>=GK!$B$1:$B$38</t>
  </si>
  <si>
    <t>=DokuBogen!$AD$59</t>
  </si>
  <si>
    <t>=Auswahl!$D$3</t>
  </si>
  <si>
    <t>ZuschussAGges</t>
  </si>
  <si>
    <t>Auswahl wd/ed</t>
  </si>
  <si>
    <t>Erläuterungen</t>
  </si>
  <si>
    <t>Auswahl "Europa und ich"</t>
  </si>
  <si>
    <t>Kofinanzierungspartner (Seite 2)</t>
  </si>
  <si>
    <t>Silvia Hintz</t>
  </si>
  <si>
    <t>Anmeldeingang</t>
  </si>
  <si>
    <t>passivkofi</t>
  </si>
  <si>
    <t>=Anmeldeformular2012!$L$79</t>
  </si>
  <si>
    <t>AKtivpassivkofi</t>
  </si>
  <si>
    <t>=Anmeldeformular2012!$L$78</t>
  </si>
  <si>
    <t>BAinstit</t>
  </si>
  <si>
    <t>=Anmeldeformular2012!$H$89</t>
  </si>
  <si>
    <t>=Bedarfbest!$A$1:$A$6</t>
  </si>
  <si>
    <t>=GK!$A$42</t>
  </si>
  <si>
    <t>Berat1</t>
  </si>
  <si>
    <t>=GK!$B$39</t>
  </si>
  <si>
    <t>Berat2</t>
  </si>
  <si>
    <t>=GK!$C$40</t>
  </si>
  <si>
    <t>Beratauswahl</t>
  </si>
  <si>
    <t>=GK!$C$1:$C$38</t>
  </si>
  <si>
    <t>ErlaeuterungChancengl</t>
  </si>
  <si>
    <t>=Anmeldeformular2012!$B$136</t>
  </si>
  <si>
    <t>=Intern!$AW$3</t>
  </si>
  <si>
    <t>=DokuBogen!$W$11</t>
  </si>
  <si>
    <t>=Anmeldeformular2012!$B$113</t>
  </si>
  <si>
    <t>=Anmeldeformular2012!$B$123</t>
  </si>
  <si>
    <t>Methode</t>
  </si>
  <si>
    <t>=Anmeldeformular2012!$B$117</t>
  </si>
  <si>
    <t>Pfortschritt</t>
  </si>
  <si>
    <t>=Anmeldeformular2012!$B$126</t>
  </si>
  <si>
    <t>Prozaktivkofi</t>
  </si>
  <si>
    <t>Pstruktur</t>
  </si>
  <si>
    <t>=Anmeldeformular2012!$B$120</t>
  </si>
  <si>
    <t>regBed</t>
  </si>
  <si>
    <t>=Anmeldeformular2012!$B$104</t>
  </si>
  <si>
    <t>SitZG</t>
  </si>
  <si>
    <t>=Anmeldeformular2012!$B$107</t>
  </si>
  <si>
    <t>=Anmeldeformular2012!$N$26</t>
  </si>
  <si>
    <t>Zielvorg</t>
  </si>
  <si>
    <t>=Anmeldeformular2012!$B$110</t>
  </si>
  <si>
    <t>=Auswahl!$C$15</t>
  </si>
  <si>
    <t>=Auswahl!$C$21</t>
  </si>
  <si>
    <t>=Auswahl!$B$31</t>
  </si>
  <si>
    <t>=Auswahl!$C$26</t>
  </si>
  <si>
    <t>hsob</t>
  </si>
  <si>
    <t>Auswahl22</t>
  </si>
  <si>
    <t>Auswahl23</t>
  </si>
  <si>
    <t>Auswahl24</t>
  </si>
  <si>
    <t>Auswahl25</t>
  </si>
  <si>
    <t>Auswahl26</t>
  </si>
  <si>
    <t>Auswahl32</t>
  </si>
  <si>
    <t>Auswahl33</t>
  </si>
  <si>
    <t>Auswahl34</t>
  </si>
  <si>
    <t>Auswahl35</t>
  </si>
  <si>
    <t>Auswahl36</t>
  </si>
  <si>
    <t>Auswahl42</t>
  </si>
  <si>
    <t>Auswahl43</t>
  </si>
  <si>
    <t>Auswahl44</t>
  </si>
  <si>
    <t>AuswahlStandard</t>
  </si>
  <si>
    <t>Bundesagentur für Arbeit-Institution</t>
  </si>
  <si>
    <t>Bundesagentur für Arbeit-Ansprechpartner</t>
  </si>
  <si>
    <t>Bundesagentur für Arbeit-Telefon</t>
  </si>
  <si>
    <t>Spenden-Institution</t>
  </si>
  <si>
    <t>Checkliste</t>
  </si>
  <si>
    <r>
      <t>Erläuterung:</t>
    </r>
    <r>
      <rPr>
        <sz val="9"/>
        <rFont val="Arial"/>
        <family val="2"/>
      </rPr>
      <t xml:space="preserve">  </t>
    </r>
  </si>
  <si>
    <r>
      <t>Erläuterung:</t>
    </r>
    <r>
      <rPr>
        <sz val="8"/>
        <rFont val="Arial"/>
        <family val="2"/>
      </rPr>
      <t xml:space="preserve">  </t>
    </r>
  </si>
  <si>
    <r>
      <t xml:space="preserve">Anmerkungen Beratung: </t>
    </r>
    <r>
      <rPr>
        <sz val="10"/>
        <rFont val="Arial"/>
        <family val="2"/>
      </rPr>
      <t xml:space="preserve"> </t>
    </r>
  </si>
  <si>
    <t>AuswahlGesamt</t>
  </si>
  <si>
    <t>AktionlisteGesamt</t>
  </si>
  <si>
    <t>FansatzlisteGesamt</t>
  </si>
  <si>
    <t>Beratung von Arbeitgebern</t>
  </si>
  <si>
    <t>Gesundheitsprävention</t>
  </si>
  <si>
    <t>Sensibilisierung für WB</t>
  </si>
  <si>
    <t>Betreuung</t>
  </si>
  <si>
    <t>Laufbahnberatung</t>
  </si>
  <si>
    <t>Sprachtraining</t>
  </si>
  <si>
    <t>Bewerbungstraining</t>
  </si>
  <si>
    <t>Multiplikatorenarbeit</t>
  </si>
  <si>
    <t>Coaching</t>
  </si>
  <si>
    <t>EDV-Training (mit Zertifikat)</t>
  </si>
  <si>
    <t>Praktikum</t>
  </si>
  <si>
    <t>Erprobung von Arbeitsfeldern</t>
  </si>
  <si>
    <t>Modul "Europa und Ich"</t>
  </si>
  <si>
    <t>Vermittlung von Sozialkomp.</t>
  </si>
  <si>
    <t>Projektelemente:</t>
  </si>
  <si>
    <t>Qualifizierungsbausteine</t>
  </si>
  <si>
    <t>Frau</t>
  </si>
  <si>
    <t>siehe  "Anmerkungen Beratung"</t>
  </si>
  <si>
    <t>TN-Plätze</t>
  </si>
  <si>
    <t>Pachsekurz</t>
  </si>
  <si>
    <t>Endgültige Entscheidung nach Änderung am:</t>
  </si>
  <si>
    <t>=Aktion!$A$2:$A$7</t>
  </si>
  <si>
    <t>=Aktion!$F$2:$F$15</t>
  </si>
  <si>
    <t>=GK!#BEZUG!</t>
  </si>
  <si>
    <t>Beraternamen</t>
  </si>
  <si>
    <t>=HSOB!$A$1:$B$4</t>
  </si>
  <si>
    <t>Dokuaktionauswahl</t>
  </si>
  <si>
    <t>=Auswahl!$C$34</t>
  </si>
  <si>
    <t>Dokufansatzauswahl</t>
  </si>
  <si>
    <t>=Auswahl!$C$35</t>
  </si>
  <si>
    <t>DokuPauswahl</t>
  </si>
  <si>
    <t>=Auswahl!$C$33</t>
  </si>
  <si>
    <t>FAnsatzAuswahlen</t>
  </si>
  <si>
    <t>=FAnsatz!$A$1:$O$1</t>
  </si>
  <si>
    <t>=FAnsatz!$A$2:$A$7</t>
  </si>
  <si>
    <t>=FAnsatz!$P$2:$P$28</t>
  </si>
  <si>
    <t>FAnsatzlisteVersatz</t>
  </si>
  <si>
    <t>=Auswahl!$E$8</t>
  </si>
  <si>
    <t>=Check!#BEZUG!</t>
  </si>
  <si>
    <t>=GK!$A$1:$B$38</t>
  </si>
  <si>
    <t>=Auswahl!$E$5</t>
  </si>
  <si>
    <t>=Intern!$BE$3</t>
  </si>
  <si>
    <t>=Intern!$BF$3</t>
  </si>
  <si>
    <t>=Auswahl!$E$6</t>
  </si>
  <si>
    <t>PKkurz</t>
  </si>
  <si>
    <t>=Auswahl!$E$11</t>
  </si>
  <si>
    <t>=PK!$A$1:$A$4</t>
  </si>
  <si>
    <t>FProjBeginn</t>
  </si>
  <si>
    <t>SProjBeginn</t>
  </si>
  <si>
    <t>FristEingang</t>
  </si>
  <si>
    <t>Projektname</t>
  </si>
  <si>
    <t>Qualifizierung (oder vergleichbares), normale Teilnehmendenerfassung</t>
  </si>
  <si>
    <t>Beratung (oder vergleichbares), aggregierte Teilnehmendenerfassung</t>
  </si>
  <si>
    <t>Prioritätsachse C: Arbeitsgelegenheit mit Qualifizierung</t>
  </si>
  <si>
    <t>Prioritätsachse C: Niedrigschwellige Qualifizierung/Erhöhung der Beschäftigungsfähigkeit</t>
  </si>
  <si>
    <t>Prioritätsachse C: Qualifizierung in der Altenpflege/Krankenpflege</t>
  </si>
  <si>
    <t>Bitte auswählen</t>
  </si>
  <si>
    <t>PLstgAnsatzListe</t>
  </si>
  <si>
    <t>Qualifizierung</t>
  </si>
  <si>
    <t>Beratung</t>
  </si>
  <si>
    <t>Auswahl222</t>
  </si>
  <si>
    <t>Auswahl223</t>
  </si>
  <si>
    <t>Auswahl233</t>
  </si>
  <si>
    <t>Auswahl332</t>
  </si>
  <si>
    <t>Auswahl442</t>
  </si>
  <si>
    <t>Auswahl232</t>
  </si>
  <si>
    <t>Auswahl422</t>
  </si>
  <si>
    <t>Auswahl432</t>
  </si>
  <si>
    <r>
      <t xml:space="preserve">Ggfs. notwendige Änderungen / Auflagen: </t>
    </r>
    <r>
      <rPr>
        <sz val="10"/>
        <rFont val="Arial"/>
        <family val="2"/>
      </rPr>
      <t xml:space="preserve"> </t>
    </r>
  </si>
  <si>
    <t>Legende Prio 0</t>
  </si>
  <si>
    <t>Ent-scheid-ung</t>
  </si>
  <si>
    <t>Prio-vor-schlag</t>
  </si>
  <si>
    <t>Bewer-tungs-vor-schlag</t>
  </si>
  <si>
    <t>Kofinanzierung unklar</t>
  </si>
  <si>
    <t>Keine Rückmeldung Kofi</t>
  </si>
  <si>
    <t>fehl.Kofi</t>
  </si>
  <si>
    <t>keine Rückmeldung zur Kofi</t>
  </si>
  <si>
    <t>Kofi noch unklar</t>
  </si>
  <si>
    <t>Eingang Neue Fassung</t>
  </si>
  <si>
    <t>neufass</t>
  </si>
  <si>
    <t>Qualifizierung in der Altenpflege/Krankenpflege</t>
  </si>
  <si>
    <t>niedrigschwellige Qualifizierung/ Erhöhung der Beschäftigungsfähigkeit</t>
  </si>
  <si>
    <t>Aktive Kofinanzierung</t>
  </si>
  <si>
    <t>Gesamtkosten abzgl. Passive Kofinanzierung</t>
  </si>
  <si>
    <r>
      <t xml:space="preserve">Anmerkungen Beratung: 
</t>
    </r>
    <r>
      <rPr>
        <sz val="10"/>
        <rFont val="Arial"/>
        <family val="2"/>
      </rPr>
      <t xml:space="preserve"> 
 </t>
    </r>
  </si>
  <si>
    <t>Auswahl333</t>
  </si>
  <si>
    <t>Qualifizierung Altenpflege</t>
  </si>
  <si>
    <t>Auswahl423</t>
  </si>
  <si>
    <t>Auswahl424</t>
  </si>
  <si>
    <t>Auswahl425</t>
  </si>
  <si>
    <t>Auswahl426</t>
  </si>
  <si>
    <t>Auswahl427</t>
  </si>
  <si>
    <t>Auswahl433</t>
  </si>
  <si>
    <t>Auswahl434</t>
  </si>
  <si>
    <t>Auswahl435</t>
  </si>
  <si>
    <t>Auswahl443</t>
  </si>
  <si>
    <t>Auswahl444</t>
  </si>
  <si>
    <t>Erläuterung für Entscheidung</t>
  </si>
  <si>
    <t>Niedrigschwellige Qualifizierung</t>
  </si>
  <si>
    <t>Anzahl der KMU</t>
  </si>
  <si>
    <t>Ergänzende Erläuterungen zu obigen Angaben, ggfs. Anzahl der Durchgänge im Projekt (bei Bedarf):</t>
  </si>
  <si>
    <t>kommunale Mittel</t>
  </si>
  <si>
    <t>Entgeltfortzahlung(Pauschalierung)</t>
  </si>
  <si>
    <t xml:space="preserve">                                                           Anteil aktive Kofinanzierung</t>
  </si>
  <si>
    <t>Komges</t>
  </si>
  <si>
    <t>kom1jahr</t>
  </si>
  <si>
    <t>kom2jahr</t>
  </si>
  <si>
    <t>sgbIIges</t>
  </si>
  <si>
    <t>Kommune gesamt</t>
  </si>
  <si>
    <t>Sonstige oeffentliche Mittel</t>
  </si>
  <si>
    <t>tngebges</t>
  </si>
  <si>
    <t>tngeb1jahr</t>
  </si>
  <si>
    <t>Spenden gesamt</t>
  </si>
  <si>
    <t>EntgeltTN1jahr</t>
  </si>
  <si>
    <t>EntgeltTN2jahr</t>
  </si>
  <si>
    <t>and.Kofi</t>
  </si>
  <si>
    <t>TN-Anz.:</t>
  </si>
  <si>
    <t>TN-Pl.:</t>
  </si>
  <si>
    <t>Kofi-aktiv</t>
  </si>
  <si>
    <t>Kofi-passiv</t>
  </si>
  <si>
    <t>Anteil in %</t>
  </si>
  <si>
    <t>Auswahl45</t>
  </si>
  <si>
    <t>Anteil an Kosten der Qualifizierung</t>
  </si>
  <si>
    <t>Qualifizierungskosten</t>
  </si>
  <si>
    <t>Kosten ges.</t>
  </si>
  <si>
    <t>Förderplan</t>
  </si>
  <si>
    <t>kommunale Mittel-Institution</t>
  </si>
  <si>
    <t>Andere Landesmittel-Institution</t>
  </si>
  <si>
    <t>Sonstige öffentliche Mittel-Institution</t>
  </si>
  <si>
    <t>Regionale Bedarfslage/ Zielgruppe</t>
  </si>
  <si>
    <t>Projekt-,Qualifizierungsinhalte</t>
  </si>
  <si>
    <t>Projektstruktur, -phasen, ztl. Ablauf, auch teilnehmerbezogen</t>
  </si>
  <si>
    <t>Ergebnisindikatoren, Dokumentation, Erfolgskontrolle</t>
  </si>
  <si>
    <t>Kontakte, Kooperationen</t>
  </si>
  <si>
    <t>regionale Bedarfslage/ Zielgruppe</t>
  </si>
  <si>
    <t>Messung u. Dokumentation der Ergebnisindikatorik (maximal 2400 Zeichen)</t>
  </si>
  <si>
    <t>Projekt-/QualifizierungsinhalteZiele</t>
  </si>
  <si>
    <t>Projektstruktur,-phasen, ztl. Ablauf, auch teilnehmerbezogen, Methodik</t>
  </si>
  <si>
    <t>Messung und Dokumentation Ergebnisindikatorik</t>
  </si>
  <si>
    <t>Projektstruktur, -phasen, ztl. Ablauf, Methodeneinsatz</t>
  </si>
  <si>
    <t>Auswahl452</t>
  </si>
  <si>
    <t>Auswahl453</t>
  </si>
  <si>
    <t>anspranrede</t>
  </si>
  <si>
    <t>Ansprechpartner Name</t>
  </si>
  <si>
    <t>Ansprechpartner Vorname</t>
  </si>
  <si>
    <t>ansprname</t>
  </si>
  <si>
    <t>Projektstruktur/-phasen, zeitl. Ablauf, auch teilnehmerbezogen, Methodeneinsatz (max. 3000 Zeichen)</t>
  </si>
  <si>
    <t>wd</t>
  </si>
  <si>
    <t>Förderansatz</t>
  </si>
  <si>
    <t>wd / ed</t>
  </si>
  <si>
    <t>ltgtitel</t>
  </si>
  <si>
    <t>Mittel des Jobcenters (SGBII)</t>
  </si>
  <si>
    <t>Private Mittel</t>
  </si>
  <si>
    <t>Zuschüsse von Unternehmen</t>
  </si>
  <si>
    <t>Spenden</t>
  </si>
  <si>
    <t>Einnahmen aus Erlösen</t>
  </si>
  <si>
    <t>Einnahmen aus Verkäufen, Vermietungen, Dienstleistungen etc.</t>
  </si>
  <si>
    <t>durch MWVLW bestätigt</t>
  </si>
  <si>
    <t>Jobcenter gesamt</t>
  </si>
  <si>
    <t>Mittel MWVLW-Institution</t>
  </si>
  <si>
    <t>Mittel Jobcenter-Institution</t>
  </si>
  <si>
    <t>Zuschuss von Unternehmen-Institution</t>
  </si>
  <si>
    <t>Entgeltfortzahlung TN gesamt</t>
  </si>
  <si>
    <t>Teilnehmergebühren gesamt</t>
  </si>
  <si>
    <t>Zuschuss Unternehmen gesamt</t>
  </si>
  <si>
    <t>Eigenmittel Träger gesamt</t>
  </si>
  <si>
    <t>Einnahmen gesamt</t>
  </si>
  <si>
    <t xml:space="preserve"> Kontakte, Kooperationen und Öffentlichkeitsarbeit (maximal 1800 Zeichen)</t>
  </si>
  <si>
    <t>Kontakte, Kooperationen, Öffentlichkeitsarbeit</t>
  </si>
  <si>
    <t>Vorprojekt Nr</t>
  </si>
  <si>
    <t>nrvorproj</t>
  </si>
  <si>
    <t>BS:</t>
  </si>
  <si>
    <t>Mittel MWVLW-Ansprechpartner/Tel</t>
  </si>
  <si>
    <t>Mittel MWVLW-E-mail</t>
  </si>
  <si>
    <t>Andere Landesmittel-Ansprechpartner/Tel.</t>
  </si>
  <si>
    <t>kommunale Mittel-Ansprechpartner/Tel.</t>
  </si>
  <si>
    <t>Andere Landesmittel-E-mail</t>
  </si>
  <si>
    <t>Mittel Jobcenter-Ansprechpartner/Tel.</t>
  </si>
  <si>
    <t>Sonstige öffentliche Mittel-Ansprechpartner/Tel.</t>
  </si>
  <si>
    <t>kommunale Mittel-E-mail</t>
  </si>
  <si>
    <t>Mittel Jobcenter-E-mail</t>
  </si>
  <si>
    <t>Sonstige öffentliche Mittel-E-mail</t>
  </si>
  <si>
    <t>Spenden-Ansprechpartner/Tel.</t>
  </si>
  <si>
    <t>Zuschuss von Unternehmen-Ansprechpartner/Tel.</t>
  </si>
  <si>
    <t>Zuschuss von Unternehmen-E-mail</t>
  </si>
  <si>
    <t>Spenden-E-Mail</t>
  </si>
  <si>
    <t>Auflagen</t>
  </si>
  <si>
    <t>Regionale Bedarfslage/ Ausgangssituation Zielgruppe (maximal 2400 Zeichen)</t>
  </si>
  <si>
    <t>Projekt-/ Qualifizierungsinhalte, Ziele (maximal 3000 Zeichen)</t>
  </si>
  <si>
    <t>Projekt-, Qualifizierungsinhalte, Ziele</t>
  </si>
  <si>
    <t>Anmerkungen</t>
  </si>
  <si>
    <t>AS</t>
  </si>
  <si>
    <t>Andreas Schneider</t>
  </si>
  <si>
    <t>ACE</t>
  </si>
  <si>
    <t>Andrea Colling-Engel</t>
  </si>
  <si>
    <t>Vulkaneifelkreis</t>
  </si>
  <si>
    <t>Mittel MASTD</t>
  </si>
  <si>
    <t>Mittel MKUEM-Insitution</t>
  </si>
  <si>
    <t>Mittel MKUEM-Ansprechpartner/Tel.</t>
  </si>
  <si>
    <t>Mittel MKUEM-E-mail</t>
  </si>
  <si>
    <t>Mittel MWG-Institution</t>
  </si>
  <si>
    <t>Mittel MWG-Ansprechpartner</t>
  </si>
  <si>
    <t>Mittel MWG-Telefon</t>
  </si>
  <si>
    <t>Mittel MFFKI-Institution</t>
  </si>
  <si>
    <t>Mittel MFFKI-Ansprechpartner</t>
  </si>
  <si>
    <t>Mittel MFFKI-Telefon</t>
  </si>
  <si>
    <t>MFFKI</t>
  </si>
  <si>
    <t>MWG</t>
  </si>
  <si>
    <t>MASTD</t>
  </si>
  <si>
    <t>MASTD gesamt</t>
  </si>
  <si>
    <t>mastdges</t>
  </si>
  <si>
    <t>mastd2Jahr</t>
  </si>
  <si>
    <r>
      <rPr>
        <b/>
        <sz val="11"/>
        <color theme="0"/>
        <rFont val="Arial"/>
        <family val="2"/>
      </rPr>
      <t xml:space="preserve">KMU </t>
    </r>
    <r>
      <rPr>
        <b/>
        <sz val="8"/>
        <color theme="0"/>
        <rFont val="Arial"/>
        <family val="2"/>
      </rPr>
      <t>kleine u.mittlere Unternehmen</t>
    </r>
  </si>
  <si>
    <t>Bitte erst spez.Ziel auswählen</t>
  </si>
  <si>
    <t>Spez. Ziel</t>
  </si>
  <si>
    <t>Angaben zum Begünstigten</t>
  </si>
  <si>
    <t>Begünstigter</t>
  </si>
  <si>
    <t xml:space="preserve">Die Teilnehmenden leben und/oder arbeiten in Rheinland-Pfalz. 
</t>
  </si>
  <si>
    <t>ESF+</t>
  </si>
  <si>
    <t>Einordnung in das  Programm des ESF+</t>
  </si>
  <si>
    <t>Spezifisches Ziel</t>
  </si>
  <si>
    <t>ESF+ Mittel</t>
  </si>
  <si>
    <t>Begünstigtendaten:</t>
  </si>
  <si>
    <t>Begünstigter - Akkreditierung</t>
  </si>
  <si>
    <t xml:space="preserve">Einordnung korrekt: </t>
  </si>
  <si>
    <t>spezif.Ziel</t>
  </si>
  <si>
    <t>BM</t>
  </si>
  <si>
    <t>Mittel BM-Ansprechpartner</t>
  </si>
  <si>
    <t>Mittel BM-Institution</t>
  </si>
  <si>
    <t>Mittel BM-Telefon</t>
  </si>
  <si>
    <t>Mittel JM-Institution</t>
  </si>
  <si>
    <t>Mittel JM-Ansprechpartner</t>
  </si>
  <si>
    <t>Mittel JM-Telefon</t>
  </si>
  <si>
    <t>durch MFFKI bestätigt</t>
  </si>
  <si>
    <t>durch BM bestätigt</t>
  </si>
  <si>
    <t>durch JM bestätigt</t>
  </si>
  <si>
    <t>durch MWG bestätigt</t>
  </si>
  <si>
    <t>Anteil ESF+</t>
  </si>
  <si>
    <t>Tnnichtbinär</t>
  </si>
  <si>
    <t>davon nicht-binär</t>
  </si>
  <si>
    <t>TN nicht-binär</t>
  </si>
  <si>
    <t>durch MASTD bestätigt</t>
  </si>
  <si>
    <t>SOB</t>
  </si>
  <si>
    <t>nicht förderfähig im Sinne des ESF+</t>
  </si>
  <si>
    <t>Sprachmittlung im Alltag -…</t>
  </si>
  <si>
    <t>Sprachmittlung  im Alltag…</t>
  </si>
  <si>
    <t>Erwerbstätige, Nichterwerbstätige, Arbeitslose</t>
  </si>
  <si>
    <t xml:space="preserve">Liegt die Akkreditierung für den ESF+ Rheinland-Pfalz vor? </t>
  </si>
  <si>
    <t>eurekanr</t>
  </si>
  <si>
    <t>EU-Grundrechtecharta:</t>
  </si>
  <si>
    <t>Zustimmung Grundrechtecharta</t>
  </si>
  <si>
    <t>Tranzparenzauswahl</t>
  </si>
  <si>
    <t>EU-Charta</t>
  </si>
  <si>
    <t>Eifelkreis Bitburg-Prüm</t>
  </si>
  <si>
    <t>Donnersbergkreis</t>
  </si>
  <si>
    <t>Westerwaldkreis</t>
  </si>
  <si>
    <t xml:space="preserve">bei wd: </t>
  </si>
  <si>
    <t>Digitale Kompetenzen</t>
  </si>
  <si>
    <t>E-Learning Plattform</t>
  </si>
  <si>
    <t>Kompetenzfeststellung</t>
  </si>
  <si>
    <t>Netzwerkarbeit</t>
  </si>
  <si>
    <t>Projektarbeit</t>
  </si>
  <si>
    <t>Situationsanalyse</t>
  </si>
  <si>
    <t>Kofi</t>
  </si>
  <si>
    <t>2025</t>
  </si>
  <si>
    <t>Bereichsübergreifende Grundsätze</t>
  </si>
  <si>
    <t>Transnationale Zusammenarbeit</t>
  </si>
  <si>
    <t>Förderung der Gleichstellung der Geschlechter:</t>
  </si>
  <si>
    <t>Chancengleichheit und Nichtdiskriminierung:</t>
  </si>
  <si>
    <t>Transnationale Zusammenarbeit:</t>
  </si>
  <si>
    <t>Gleichstellung der Geschlechter</t>
  </si>
  <si>
    <t>Chancengleichheit u.Nichtdiskrim.</t>
  </si>
  <si>
    <t>Gleichstellungauswahl</t>
  </si>
  <si>
    <t>Nichdiskriminierungsauswahl</t>
  </si>
  <si>
    <t>Nachhaltigkeitsauswahl</t>
  </si>
  <si>
    <t>davon 2025:</t>
  </si>
  <si>
    <t>Nachhaltige Entwicklung</t>
  </si>
  <si>
    <t>Umgang mit Geld</t>
  </si>
  <si>
    <t>Auswahl "Umgang mit Geld"</t>
  </si>
  <si>
    <t>JC Ahrweiler</t>
  </si>
  <si>
    <t>JC Altenkirchen</t>
  </si>
  <si>
    <t>JC Alzey-Worms</t>
  </si>
  <si>
    <t>JC Bad Dürkheim</t>
  </si>
  <si>
    <t>JC Bad Kreuznach</t>
  </si>
  <si>
    <t>JC Bernkastel-Wittlich</t>
  </si>
  <si>
    <t>JC Birkenfeld</t>
  </si>
  <si>
    <t>JC Bitburg-Prüm</t>
  </si>
  <si>
    <t>JC Cochem-Zell</t>
  </si>
  <si>
    <t>JC Donnersbergkreis</t>
  </si>
  <si>
    <t>JC Dt. Weinstraße</t>
  </si>
  <si>
    <t>JC Germersheim</t>
  </si>
  <si>
    <t>JC Kaiserslautern Lkr.</t>
  </si>
  <si>
    <t>JC Kaiserslautern Stdt.</t>
  </si>
  <si>
    <t>JC Koblenz</t>
  </si>
  <si>
    <t>JC Kusel</t>
  </si>
  <si>
    <t>JC Landau/ Südl. Weinstraße</t>
  </si>
  <si>
    <t>JC Mainz</t>
  </si>
  <si>
    <t>JC Mainz-Bingen</t>
  </si>
  <si>
    <t>JC Mayen-Koblenz</t>
  </si>
  <si>
    <t>JC Neustadt/W.</t>
  </si>
  <si>
    <t>JC Neuwied</t>
  </si>
  <si>
    <t>JC Pirmasens</t>
  </si>
  <si>
    <t>JC Rhein-Hunsrück</t>
  </si>
  <si>
    <t>JC Rhein-Lahn</t>
  </si>
  <si>
    <t>JC Speyer</t>
  </si>
  <si>
    <t>JC Südwestpfalz</t>
  </si>
  <si>
    <t>JC Trier</t>
  </si>
  <si>
    <t>JC Trier-Saarburg</t>
  </si>
  <si>
    <t>JC Vorderphalz/ Ludwigshafen</t>
  </si>
  <si>
    <t>JC Vulkaneifel</t>
  </si>
  <si>
    <t>JC Westerwald</t>
  </si>
  <si>
    <t>JC Worms</t>
  </si>
  <si>
    <t>JC Zweibrücken</t>
  </si>
  <si>
    <t>mastd1jahr</t>
  </si>
  <si>
    <t>davon 2026:</t>
  </si>
  <si>
    <t>Qualifizierungsbaust.zertifiziert</t>
  </si>
  <si>
    <t>2026</t>
  </si>
  <si>
    <t>Aufruf 2025-1</t>
  </si>
  <si>
    <t>außerhalb von Rahmenbedingungen</t>
  </si>
  <si>
    <t>ESO 4.7 Förderung des lebenslangen Lernens</t>
  </si>
  <si>
    <t>ESO 4.6 Förderung Förderung des gleichberechtigten Zugangs zu hochwertiger und inklusiver allgemeiner
und beruflicher Bildung</t>
  </si>
  <si>
    <t>ESO 4.6 Förderung des gleichberechtigten Zugangs zu hochwertiger und inklusiver allgemeiner
und beruflicher Bildung</t>
  </si>
  <si>
    <t>Unter 30-Jährige</t>
  </si>
  <si>
    <t>Beschäftigte mit Wohnort oder Arbeitsplatz in RLP</t>
  </si>
  <si>
    <t>EurekaRLP Plus 
Projektnummer Vorprojekt</t>
  </si>
  <si>
    <t>Projektanmeldung zum Aufruf 2025-1 Realkosten</t>
  </si>
  <si>
    <t>Mittel MASTD-Institution</t>
  </si>
  <si>
    <t>Mittel MASTD-Ansprechpartner</t>
  </si>
  <si>
    <t>Mittel MASTD-Telefon</t>
  </si>
  <si>
    <t>Projektanmeldung zum Landesaufruf zur Einreichung von arbeitsmarktpolitischen Landesprojekten als flankierende Unterstützung zur Integration von SGB II-Beziehenden ab dem 1.1.2025</t>
  </si>
  <si>
    <r>
      <rPr>
        <sz val="8"/>
        <rFont val="Arial"/>
        <family val="2"/>
      </rPr>
      <t>Eingang Anmeldung</t>
    </r>
    <r>
      <rPr>
        <b/>
        <sz val="10"/>
        <rFont val="Arial"/>
        <family val="2"/>
      </rPr>
      <t xml:space="preserve">
</t>
    </r>
  </si>
  <si>
    <t>Erläuterung zur Kalkulation, der Personalbemessung oder andere ergänzende Anmerkungen zur Kofinanzierung (bei Bedarf):</t>
  </si>
  <si>
    <t>Projektmöglichkeit lt. Aufruf</t>
  </si>
  <si>
    <t>Bitte wählen</t>
  </si>
  <si>
    <t>Digi-Scout</t>
  </si>
  <si>
    <t>Von Hand zu Hand</t>
  </si>
  <si>
    <t>Projekte für Zielgruppe ab 50</t>
  </si>
  <si>
    <t>Kostenkalkulation</t>
  </si>
  <si>
    <t>Personal-kosten</t>
  </si>
  <si>
    <t>Sachkosten</t>
  </si>
  <si>
    <t>Gesamt-summe</t>
  </si>
  <si>
    <t xml:space="preserve"> </t>
  </si>
  <si>
    <t>lfd. Nr.</t>
  </si>
  <si>
    <t>Kofinanzierung angegeben:</t>
  </si>
  <si>
    <t xml:space="preserve">                        E-Mail</t>
  </si>
  <si>
    <t xml:space="preserve">                      AnsprechpartnerIn/Tel.</t>
  </si>
  <si>
    <t>Ansprechpartner, Telefonnr.</t>
  </si>
  <si>
    <t>Verwaltungskosten-pauschale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</si>
</sst>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DM&quot;_-;\-* #,##0.00\ &quot;DM&quot;_-;_-* &quot;-&quot;??\ &quot;DM&quot;_-;_-@_-"/>
    <numFmt numFmtId="165" formatCode="#,##0\ &quot;€&quot;"/>
    <numFmt numFmtId="166" formatCode="0.0"/>
    <numFmt numFmtId="167" formatCode="dd/mm/yy;@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5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10"/>
      <name val="Tahoma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rgb="FF000000"/>
      <name val="Tahoma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8"/>
      <color theme="0"/>
      <name val="Arial"/>
      <family val="2"/>
    </font>
    <font>
      <sz val="12"/>
      <color theme="0"/>
      <name val="Arial"/>
      <family val="2"/>
    </font>
    <font>
      <sz val="8"/>
      <color rgb="FF000000"/>
      <name val="Segoe UI"/>
      <family val="2"/>
    </font>
    <font>
      <u/>
      <sz val="10"/>
      <color theme="10"/>
      <name val="Arial"/>
      <family val="2"/>
    </font>
    <font>
      <sz val="8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164" fontId="1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807">
    <xf numFmtId="0" fontId="0" fillId="0" borderId="0" xfId="0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2" fillId="0" borderId="8" xfId="0" applyFont="1" applyBorder="1" applyProtection="1"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3" fontId="2" fillId="0" borderId="0" xfId="0" applyNumberFormat="1" applyFont="1" applyAlignment="1">
      <alignment wrapText="1"/>
    </xf>
    <xf numFmtId="0" fontId="2" fillId="0" borderId="8" xfId="0" applyFont="1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0" fontId="10" fillId="0" borderId="0" xfId="0" applyFont="1"/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9" xfId="0" applyBorder="1"/>
    <xf numFmtId="0" fontId="2" fillId="0" borderId="9" xfId="0" applyFont="1" applyBorder="1"/>
    <xf numFmtId="0" fontId="10" fillId="0" borderId="0" xfId="0" applyFont="1" applyAlignment="1">
      <alignment horizontal="left"/>
    </xf>
    <xf numFmtId="0" fontId="2" fillId="0" borderId="2" xfId="0" applyFont="1" applyBorder="1"/>
    <xf numFmtId="0" fontId="10" fillId="0" borderId="1" xfId="0" applyFont="1" applyBorder="1"/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3" fontId="2" fillId="0" borderId="0" xfId="0" applyNumberFormat="1" applyFont="1" applyAlignment="1">
      <alignment horizontal="right" wrapText="1"/>
    </xf>
    <xf numFmtId="3" fontId="2" fillId="0" borderId="0" xfId="0" quotePrefix="1" applyNumberFormat="1" applyFont="1" applyAlignment="1">
      <alignment wrapText="1"/>
    </xf>
    <xf numFmtId="1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right" wrapText="1"/>
    </xf>
    <xf numFmtId="166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 wrapText="1"/>
    </xf>
    <xf numFmtId="1" fontId="3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left"/>
    </xf>
    <xf numFmtId="167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21" fillId="0" borderId="0" xfId="0" applyFont="1"/>
    <xf numFmtId="0" fontId="20" fillId="0" borderId="0" xfId="0" applyFont="1"/>
    <xf numFmtId="0" fontId="22" fillId="0" borderId="1" xfId="0" applyFont="1" applyBorder="1" applyAlignment="1">
      <alignment horizontal="center"/>
    </xf>
    <xf numFmtId="0" fontId="21" fillId="0" borderId="1" xfId="0" applyFont="1" applyBorder="1"/>
    <xf numFmtId="0" fontId="20" fillId="0" borderId="1" xfId="0" applyFont="1" applyBorder="1"/>
    <xf numFmtId="0" fontId="22" fillId="0" borderId="9" xfId="0" applyFont="1" applyBorder="1"/>
    <xf numFmtId="0" fontId="22" fillId="0" borderId="1" xfId="0" applyFont="1" applyBorder="1"/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0" fontId="12" fillId="0" borderId="0" xfId="0" applyFont="1"/>
    <xf numFmtId="0" fontId="0" fillId="0" borderId="10" xfId="0" applyBorder="1"/>
    <xf numFmtId="0" fontId="2" fillId="0" borderId="0" xfId="0" applyFont="1" applyAlignment="1" applyProtection="1">
      <alignment horizontal="center"/>
      <protection locked="0"/>
    </xf>
    <xf numFmtId="0" fontId="1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0" fillId="2" borderId="4" xfId="0" applyFill="1" applyBorder="1"/>
    <xf numFmtId="0" fontId="0" fillId="2" borderId="11" xfId="0" applyFill="1" applyBorder="1"/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9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2" xfId="0" applyBorder="1"/>
    <xf numFmtId="2" fontId="0" fillId="0" borderId="0" xfId="0" applyNumberFormat="1" applyAlignment="1">
      <alignment horizontal="left"/>
    </xf>
    <xf numFmtId="167" fontId="2" fillId="0" borderId="0" xfId="0" applyNumberFormat="1" applyFont="1" applyAlignment="1">
      <alignment wrapText="1"/>
    </xf>
    <xf numFmtId="167" fontId="3" fillId="0" borderId="0" xfId="0" applyNumberFormat="1" applyFont="1" applyAlignment="1">
      <alignment horizontal="left" wrapText="1"/>
    </xf>
    <xf numFmtId="167" fontId="3" fillId="0" borderId="0" xfId="0" applyNumberFormat="1" applyFont="1"/>
    <xf numFmtId="167" fontId="5" fillId="0" borderId="0" xfId="0" applyNumberFormat="1" applyFont="1" applyAlignment="1">
      <alignment wrapText="1"/>
    </xf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3" fontId="5" fillId="0" borderId="0" xfId="0" applyNumberFormat="1" applyFont="1" applyAlignment="1">
      <alignment wrapText="1"/>
    </xf>
    <xf numFmtId="0" fontId="10" fillId="0" borderId="0" xfId="0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2" fillId="0" borderId="13" xfId="0" applyFont="1" applyBorder="1" applyAlignment="1">
      <alignment wrapText="1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wrapText="1"/>
    </xf>
    <xf numFmtId="1" fontId="23" fillId="0" borderId="14" xfId="0" applyNumberFormat="1" applyFont="1" applyBorder="1" applyAlignment="1">
      <alignment horizontal="left" wrapText="1"/>
    </xf>
    <xf numFmtId="0" fontId="3" fillId="0" borderId="13" xfId="0" applyFont="1" applyBorder="1" applyAlignment="1">
      <alignment wrapText="1"/>
    </xf>
    <xf numFmtId="1" fontId="17" fillId="0" borderId="15" xfId="0" applyNumberFormat="1" applyFont="1" applyBorder="1" applyAlignment="1">
      <alignment horizontal="left" wrapText="1"/>
    </xf>
    <xf numFmtId="0" fontId="0" fillId="0" borderId="16" xfId="0" applyBorder="1"/>
    <xf numFmtId="0" fontId="18" fillId="0" borderId="17" xfId="0" applyFont="1" applyBorder="1" applyAlignment="1">
      <alignment wrapText="1"/>
    </xf>
    <xf numFmtId="0" fontId="18" fillId="0" borderId="15" xfId="0" applyFont="1" applyBorder="1" applyAlignment="1">
      <alignment horizontal="left"/>
    </xf>
    <xf numFmtId="0" fontId="18" fillId="0" borderId="15" xfId="0" applyFont="1" applyBorder="1"/>
    <xf numFmtId="0" fontId="0" fillId="0" borderId="2" xfId="0" applyBorder="1" applyAlignment="1">
      <alignment wrapText="1"/>
    </xf>
    <xf numFmtId="0" fontId="17" fillId="0" borderId="5" xfId="0" applyFont="1" applyBorder="1" applyProtection="1">
      <protection locked="0"/>
    </xf>
    <xf numFmtId="0" fontId="0" fillId="0" borderId="11" xfId="0" applyBorder="1" applyProtection="1">
      <protection locked="0"/>
    </xf>
    <xf numFmtId="0" fontId="19" fillId="0" borderId="0" xfId="0" applyFont="1" applyAlignment="1" applyProtection="1">
      <alignment horizontal="left"/>
      <protection locked="0"/>
    </xf>
    <xf numFmtId="1" fontId="3" fillId="0" borderId="14" xfId="0" applyNumberFormat="1" applyFont="1" applyBorder="1" applyAlignment="1">
      <alignment horizontal="left" wrapText="1"/>
    </xf>
    <xf numFmtId="0" fontId="1" fillId="0" borderId="1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14" fontId="0" fillId="0" borderId="0" xfId="0" applyNumberFormat="1"/>
    <xf numFmtId="49" fontId="0" fillId="0" borderId="0" xfId="0" applyNumberFormat="1"/>
    <xf numFmtId="0" fontId="0" fillId="0" borderId="16" xfId="0" applyBorder="1" applyAlignment="1">
      <alignment wrapText="1"/>
    </xf>
    <xf numFmtId="0" fontId="18" fillId="0" borderId="19" xfId="0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Protection="1">
      <protection locked="0"/>
    </xf>
    <xf numFmtId="165" fontId="1" fillId="0" borderId="2" xfId="0" applyNumberFormat="1" applyFont="1" applyBorder="1" applyAlignment="1" applyProtection="1">
      <alignment horizontal="left"/>
      <protection locked="0"/>
    </xf>
    <xf numFmtId="165" fontId="1" fillId="0" borderId="0" xfId="0" applyNumberFormat="1" applyFont="1" applyAlignment="1" applyProtection="1">
      <alignment horizontal="left"/>
      <protection locked="0"/>
    </xf>
    <xf numFmtId="0" fontId="10" fillId="0" borderId="8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vertical="center"/>
    </xf>
    <xf numFmtId="0" fontId="28" fillId="0" borderId="0" xfId="0" applyFont="1"/>
    <xf numFmtId="1" fontId="2" fillId="0" borderId="0" xfId="0" quotePrefix="1" applyNumberFormat="1" applyFont="1" applyAlignment="1">
      <alignment horizontal="left" wrapText="1"/>
    </xf>
    <xf numFmtId="0" fontId="12" fillId="0" borderId="0" xfId="0" applyFont="1" applyAlignment="1">
      <alignment horizontal="center"/>
    </xf>
    <xf numFmtId="1" fontId="3" fillId="0" borderId="0" xfId="0" applyNumberFormat="1" applyFont="1" applyAlignment="1">
      <alignment horizontal="center" wrapText="1"/>
    </xf>
    <xf numFmtId="14" fontId="1" fillId="0" borderId="0" xfId="0" applyNumberFormat="1" applyFont="1"/>
    <xf numFmtId="0" fontId="1" fillId="0" borderId="7" xfId="0" applyFont="1" applyBorder="1" applyProtection="1">
      <protection locked="0"/>
    </xf>
    <xf numFmtId="0" fontId="1" fillId="0" borderId="13" xfId="0" applyFont="1" applyBorder="1" applyAlignment="1">
      <alignment wrapText="1"/>
    </xf>
    <xf numFmtId="3" fontId="1" fillId="0" borderId="0" xfId="0" applyNumberFormat="1" applyFont="1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21" fillId="0" borderId="10" xfId="0" applyFont="1" applyBorder="1"/>
    <xf numFmtId="0" fontId="1" fillId="0" borderId="2" xfId="0" applyFont="1" applyBorder="1" applyProtection="1">
      <protection locked="0"/>
    </xf>
    <xf numFmtId="0" fontId="2" fillId="0" borderId="0" xfId="0" applyFont="1" applyAlignment="1">
      <alignment horizontal="right"/>
    </xf>
    <xf numFmtId="0" fontId="1" fillId="0" borderId="9" xfId="0" applyFont="1" applyBorder="1"/>
    <xf numFmtId="0" fontId="19" fillId="0" borderId="0" xfId="0" applyFont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1" fontId="0" fillId="0" borderId="0" xfId="0" applyNumberFormat="1" applyAlignment="1">
      <alignment horizontal="right"/>
    </xf>
    <xf numFmtId="1" fontId="3" fillId="3" borderId="0" xfId="0" applyNumberFormat="1" applyFont="1" applyFill="1" applyAlignment="1">
      <alignment horizontal="right" wrapText="1"/>
    </xf>
    <xf numFmtId="1" fontId="3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14" xfId="0" applyFont="1" applyBorder="1" applyAlignment="1">
      <alignment horizontal="left" wrapText="1"/>
    </xf>
    <xf numFmtId="167" fontId="1" fillId="0" borderId="0" xfId="0" applyNumberFormat="1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1" fontId="0" fillId="0" borderId="2" xfId="0" applyNumberFormat="1" applyBorder="1"/>
    <xf numFmtId="167" fontId="1" fillId="3" borderId="0" xfId="0" applyNumberFormat="1" applyFont="1" applyFill="1" applyAlignment="1">
      <alignment horizontal="left" wrapText="1"/>
    </xf>
    <xf numFmtId="0" fontId="2" fillId="0" borderId="2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8" fillId="0" borderId="6" xfId="0" applyFont="1" applyBorder="1"/>
    <xf numFmtId="1" fontId="3" fillId="0" borderId="3" xfId="0" applyNumberFormat="1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0" fillId="0" borderId="7" xfId="0" applyBorder="1" applyAlignment="1">
      <alignment wrapText="1"/>
    </xf>
    <xf numFmtId="1" fontId="3" fillId="0" borderId="11" xfId="0" applyNumberFormat="1" applyFont="1" applyBorder="1" applyAlignment="1">
      <alignment horizontal="left" wrapText="1"/>
    </xf>
    <xf numFmtId="49" fontId="1" fillId="0" borderId="0" xfId="0" applyNumberFormat="1" applyFont="1" applyAlignment="1" applyProtection="1">
      <alignment horizontal="left"/>
      <protection locked="0"/>
    </xf>
    <xf numFmtId="9" fontId="0" fillId="0" borderId="0" xfId="0" applyNumberFormat="1"/>
    <xf numFmtId="0" fontId="10" fillId="0" borderId="1" xfId="0" applyFont="1" applyBorder="1" applyAlignment="1">
      <alignment horizontal="right"/>
    </xf>
    <xf numFmtId="0" fontId="0" fillId="0" borderId="5" xfId="0" applyBorder="1" applyAlignment="1">
      <alignment horizontal="center"/>
    </xf>
    <xf numFmtId="165" fontId="1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0" fontId="1" fillId="0" borderId="2" xfId="0" applyFont="1" applyBorder="1"/>
    <xf numFmtId="0" fontId="9" fillId="0" borderId="0" xfId="0" applyFont="1"/>
    <xf numFmtId="0" fontId="2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wrapText="1"/>
    </xf>
    <xf numFmtId="0" fontId="9" fillId="0" borderId="0" xfId="0" applyFont="1" applyAlignment="1">
      <alignment vertical="top" wrapText="1"/>
    </xf>
    <xf numFmtId="0" fontId="0" fillId="0" borderId="4" xfId="0" applyBorder="1"/>
    <xf numFmtId="0" fontId="1" fillId="0" borderId="0" xfId="0" applyFont="1" applyAlignment="1" applyProtection="1">
      <alignment horizontal="left"/>
      <protection locked="0"/>
    </xf>
    <xf numFmtId="0" fontId="2" fillId="6" borderId="0" xfId="0" applyFont="1" applyFill="1"/>
    <xf numFmtId="0" fontId="1" fillId="6" borderId="4" xfId="0" applyFont="1" applyFill="1" applyBorder="1"/>
    <xf numFmtId="0" fontId="0" fillId="6" borderId="4" xfId="0" applyFill="1" applyBorder="1"/>
    <xf numFmtId="0" fontId="0" fillId="0" borderId="6" xfId="0" applyBorder="1"/>
    <xf numFmtId="49" fontId="3" fillId="0" borderId="0" xfId="0" applyNumberFormat="1" applyFont="1"/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 vertical="center" wrapText="1"/>
    </xf>
    <xf numFmtId="49" fontId="4" fillId="0" borderId="8" xfId="0" applyNumberFormat="1" applyFont="1" applyBorder="1" applyAlignment="1">
      <alignment horizontal="left"/>
    </xf>
    <xf numFmtId="49" fontId="4" fillId="0" borderId="5" xfId="0" applyNumberFormat="1" applyFont="1" applyBorder="1"/>
    <xf numFmtId="49" fontId="5" fillId="0" borderId="5" xfId="0" applyNumberFormat="1" applyFont="1" applyBorder="1"/>
    <xf numFmtId="49" fontId="3" fillId="0" borderId="5" xfId="0" applyNumberFormat="1" applyFont="1" applyBorder="1"/>
    <xf numFmtId="49" fontId="14" fillId="0" borderId="5" xfId="0" applyNumberFormat="1" applyFont="1" applyBorder="1"/>
    <xf numFmtId="49" fontId="3" fillId="0" borderId="6" xfId="0" applyNumberFormat="1" applyFont="1" applyBorder="1"/>
    <xf numFmtId="49" fontId="13" fillId="0" borderId="0" xfId="0" applyNumberFormat="1" applyFont="1" applyAlignment="1">
      <alignment horizontal="center"/>
    </xf>
    <xf numFmtId="49" fontId="0" fillId="0" borderId="2" xfId="0" applyNumberFormat="1" applyBorder="1" applyAlignment="1">
      <alignment horizontal="left"/>
    </xf>
    <xf numFmtId="49" fontId="9" fillId="0" borderId="0" xfId="0" applyNumberFormat="1" applyFont="1"/>
    <xf numFmtId="49" fontId="9" fillId="0" borderId="3" xfId="0" applyNumberFormat="1" applyFont="1" applyBorder="1" applyAlignment="1">
      <alignment horizontal="center" vertical="center"/>
    </xf>
    <xf numFmtId="49" fontId="24" fillId="0" borderId="0" xfId="0" applyNumberFormat="1" applyFont="1"/>
    <xf numFmtId="49" fontId="9" fillId="0" borderId="8" xfId="0" applyNumberFormat="1" applyFont="1" applyBorder="1"/>
    <xf numFmtId="49" fontId="0" fillId="0" borderId="5" xfId="0" applyNumberFormat="1" applyBorder="1"/>
    <xf numFmtId="49" fontId="0" fillId="0" borderId="6" xfId="0" applyNumberFormat="1" applyBorder="1"/>
    <xf numFmtId="49" fontId="9" fillId="0" borderId="0" xfId="0" applyNumberFormat="1" applyFont="1" applyAlignment="1">
      <alignment horizontal="left"/>
    </xf>
    <xf numFmtId="49" fontId="9" fillId="0" borderId="2" xfId="0" applyNumberFormat="1" applyFont="1" applyBorder="1" applyAlignment="1">
      <alignment horizontal="left"/>
    </xf>
    <xf numFmtId="49" fontId="0" fillId="0" borderId="3" xfId="0" applyNumberFormat="1" applyBorder="1"/>
    <xf numFmtId="49" fontId="26" fillId="0" borderId="0" xfId="0" applyNumberFormat="1" applyFont="1"/>
    <xf numFmtId="49" fontId="20" fillId="0" borderId="2" xfId="0" applyNumberFormat="1" applyFont="1" applyBorder="1" applyAlignment="1">
      <alignment horizontal="left"/>
    </xf>
    <xf numFmtId="49" fontId="20" fillId="0" borderId="8" xfId="0" applyNumberFormat="1" applyFont="1" applyBorder="1"/>
    <xf numFmtId="49" fontId="20" fillId="0" borderId="5" xfId="0" applyNumberFormat="1" applyFont="1" applyBorder="1"/>
    <xf numFmtId="49" fontId="20" fillId="0" borderId="6" xfId="0" applyNumberFormat="1" applyFont="1" applyBorder="1"/>
    <xf numFmtId="49" fontId="20" fillId="0" borderId="8" xfId="0" applyNumberFormat="1" applyFont="1" applyBorder="1" applyAlignment="1">
      <alignment horizontal="left"/>
    </xf>
    <xf numFmtId="49" fontId="20" fillId="0" borderId="0" xfId="0" applyNumberFormat="1" applyFont="1" applyAlignment="1">
      <alignment horizontal="left"/>
    </xf>
    <xf numFmtId="49" fontId="20" fillId="0" borderId="0" xfId="0" applyNumberFormat="1" applyFont="1"/>
    <xf numFmtId="49" fontId="20" fillId="0" borderId="3" xfId="0" applyNumberFormat="1" applyFont="1" applyBorder="1"/>
    <xf numFmtId="49" fontId="26" fillId="0" borderId="0" xfId="0" applyNumberFormat="1" applyFont="1" applyAlignment="1">
      <alignment horizontal="left"/>
    </xf>
    <xf numFmtId="49" fontId="3" fillId="0" borderId="3" xfId="0" applyNumberFormat="1" applyFont="1" applyBorder="1"/>
    <xf numFmtId="49" fontId="0" fillId="0" borderId="2" xfId="0" applyNumberFormat="1" applyBorder="1" applyAlignment="1">
      <alignment horizontal="left" vertical="center"/>
    </xf>
    <xf numFmtId="49" fontId="11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49" fontId="20" fillId="0" borderId="5" xfId="0" applyNumberFormat="1" applyFont="1" applyBorder="1" applyAlignment="1">
      <alignment horizontal="left"/>
    </xf>
    <xf numFmtId="49" fontId="20" fillId="0" borderId="6" xfId="0" applyNumberFormat="1" applyFont="1" applyBorder="1" applyAlignment="1">
      <alignment horizontal="left"/>
    </xf>
    <xf numFmtId="0" fontId="19" fillId="0" borderId="3" xfId="0" applyFont="1" applyBorder="1" applyAlignment="1">
      <alignment horizontal="center" vertical="center"/>
    </xf>
    <xf numFmtId="49" fontId="1" fillId="0" borderId="0" xfId="0" applyNumberFormat="1" applyFont="1"/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vertical="center"/>
    </xf>
    <xf numFmtId="49" fontId="3" fillId="0" borderId="2" xfId="0" applyNumberFormat="1" applyFont="1" applyBorder="1"/>
    <xf numFmtId="49" fontId="2" fillId="0" borderId="0" xfId="0" applyNumberFormat="1" applyFont="1"/>
    <xf numFmtId="49" fontId="14" fillId="0" borderId="2" xfId="0" applyNumberFormat="1" applyFont="1" applyBorder="1"/>
    <xf numFmtId="0" fontId="0" fillId="0" borderId="7" xfId="0" applyBorder="1" applyAlignment="1">
      <alignment vertical="top" wrapText="1"/>
    </xf>
    <xf numFmtId="0" fontId="0" fillId="0" borderId="11" xfId="0" applyBorder="1" applyAlignment="1">
      <alignment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3" fillId="0" borderId="2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vertical="center"/>
    </xf>
    <xf numFmtId="0" fontId="1" fillId="0" borderId="8" xfId="0" applyFont="1" applyBorder="1"/>
    <xf numFmtId="49" fontId="9" fillId="0" borderId="6" xfId="0" applyNumberFormat="1" applyFont="1" applyBorder="1"/>
    <xf numFmtId="49" fontId="3" fillId="0" borderId="2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left"/>
    </xf>
    <xf numFmtId="49" fontId="5" fillId="0" borderId="0" xfId="0" applyNumberFormat="1" applyFont="1"/>
    <xf numFmtId="49" fontId="3" fillId="0" borderId="12" xfId="0" applyNumberFormat="1" applyFont="1" applyBorder="1" applyAlignment="1">
      <alignment horizontal="left"/>
    </xf>
    <xf numFmtId="49" fontId="3" fillId="0" borderId="12" xfId="0" applyNumberFormat="1" applyFont="1" applyBorder="1" applyAlignment="1">
      <alignment horizontal="center"/>
    </xf>
    <xf numFmtId="49" fontId="3" fillId="6" borderId="12" xfId="0" applyNumberFormat="1" applyFont="1" applyFill="1" applyBorder="1" applyAlignment="1">
      <alignment horizontal="left"/>
    </xf>
    <xf numFmtId="49" fontId="3" fillId="6" borderId="12" xfId="0" applyNumberFormat="1" applyFont="1" applyFill="1" applyBorder="1" applyAlignment="1">
      <alignment horizontal="center"/>
    </xf>
    <xf numFmtId="49" fontId="30" fillId="6" borderId="0" xfId="0" applyNumberFormat="1" applyFont="1" applyFill="1" applyAlignment="1">
      <alignment horizontal="center"/>
    </xf>
    <xf numFmtId="49" fontId="6" fillId="0" borderId="0" xfId="1" applyNumberFormat="1" applyFont="1" applyAlignment="1">
      <alignment vertical="center"/>
    </xf>
    <xf numFmtId="49" fontId="3" fillId="0" borderId="0" xfId="0" quotePrefix="1" applyNumberFormat="1" applyFont="1" applyAlignment="1">
      <alignment vertical="center"/>
    </xf>
    <xf numFmtId="49" fontId="6" fillId="0" borderId="0" xfId="1" applyNumberFormat="1" applyFont="1"/>
    <xf numFmtId="49" fontId="3" fillId="0" borderId="0" xfId="0" quotePrefix="1" applyNumberFormat="1" applyFont="1"/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2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/>
    </xf>
    <xf numFmtId="49" fontId="11" fillId="0" borderId="0" xfId="0" applyNumberFormat="1" applyFont="1"/>
    <xf numFmtId="49" fontId="4" fillId="0" borderId="0" xfId="0" applyNumberFormat="1" applyFont="1"/>
    <xf numFmtId="49" fontId="2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49" fontId="24" fillId="0" borderId="0" xfId="0" applyNumberFormat="1" applyFont="1" applyAlignment="1">
      <alignment horizontal="left" wrapText="1"/>
    </xf>
    <xf numFmtId="49" fontId="0" fillId="0" borderId="0" xfId="0" applyNumberFormat="1" applyAlignment="1">
      <alignment wrapText="1"/>
    </xf>
    <xf numFmtId="0" fontId="24" fillId="0" borderId="0" xfId="0" applyFont="1" applyAlignment="1">
      <alignment vertical="top" wrapText="1"/>
    </xf>
    <xf numFmtId="49" fontId="11" fillId="0" borderId="0" xfId="0" applyNumberFormat="1" applyFont="1" applyAlignment="1">
      <alignment horizontal="left"/>
    </xf>
    <xf numFmtId="2" fontId="0" fillId="0" borderId="0" xfId="0" applyNumberFormat="1"/>
    <xf numFmtId="49" fontId="8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24" fillId="0" borderId="0" xfId="0" applyNumberFormat="1" applyFont="1" applyBorder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49" fontId="3" fillId="0" borderId="0" xfId="0" applyNumberFormat="1" applyFont="1"/>
    <xf numFmtId="0" fontId="0" fillId="0" borderId="3" xfId="0" applyBorder="1"/>
    <xf numFmtId="0" fontId="0" fillId="0" borderId="5" xfId="0" applyBorder="1"/>
    <xf numFmtId="49" fontId="9" fillId="0" borderId="0" xfId="0" applyNumberFormat="1" applyFont="1" applyBorder="1" applyAlignment="1">
      <alignment vertical="top"/>
    </xf>
    <xf numFmtId="49" fontId="9" fillId="0" borderId="6" xfId="0" applyNumberFormat="1" applyFont="1" applyBorder="1" applyAlignment="1">
      <alignment vertical="top"/>
    </xf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horizontal="right"/>
    </xf>
    <xf numFmtId="49" fontId="3" fillId="0" borderId="7" xfId="0" applyNumberFormat="1" applyFont="1" applyBorder="1"/>
    <xf numFmtId="0" fontId="0" fillId="0" borderId="0" xfId="0" applyBorder="1" applyAlignment="1">
      <alignment wrapText="1"/>
    </xf>
    <xf numFmtId="49" fontId="0" fillId="0" borderId="4" xfId="0" applyNumberFormat="1" applyBorder="1"/>
    <xf numFmtId="49" fontId="0" fillId="0" borderId="11" xfId="0" applyNumberFormat="1" applyBorder="1"/>
    <xf numFmtId="0" fontId="31" fillId="6" borderId="0" xfId="0" applyFont="1" applyFill="1" applyBorder="1"/>
    <xf numFmtId="49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49" fontId="2" fillId="0" borderId="0" xfId="0" applyNumberFormat="1" applyFont="1" applyBorder="1" applyAlignment="1">
      <alignment vertical="center"/>
    </xf>
    <xf numFmtId="49" fontId="1" fillId="0" borderId="0" xfId="0" applyNumberFormat="1" applyFont="1" applyBorder="1" applyProtection="1">
      <protection locked="0"/>
    </xf>
    <xf numFmtId="49" fontId="10" fillId="0" borderId="0" xfId="0" applyNumberFormat="1" applyFont="1" applyBorder="1" applyAlignment="1" applyProtection="1">
      <alignment horizontal="left"/>
      <protection locked="0"/>
    </xf>
    <xf numFmtId="49" fontId="24" fillId="0" borderId="4" xfId="0" applyNumberFormat="1" applyFont="1" applyBorder="1" applyAlignment="1" applyProtection="1">
      <alignment vertical="top" wrapText="1"/>
      <protection locked="0"/>
    </xf>
    <xf numFmtId="49" fontId="9" fillId="0" borderId="0" xfId="0" applyNumberFormat="1" applyFont="1" applyBorder="1"/>
    <xf numFmtId="49" fontId="3" fillId="0" borderId="0" xfId="0" applyNumberFormat="1" applyFont="1" applyBorder="1"/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/>
    <xf numFmtId="0" fontId="1" fillId="0" borderId="0" xfId="0" applyFont="1" applyBorder="1" applyAlignment="1" applyProtection="1">
      <alignment horizontal="left"/>
      <protection locked="0"/>
    </xf>
    <xf numFmtId="0" fontId="0" fillId="0" borderId="0" xfId="0" applyBorder="1"/>
    <xf numFmtId="49" fontId="10" fillId="0" borderId="0" xfId="0" applyNumberFormat="1" applyFont="1" applyBorder="1" applyAlignment="1">
      <alignment vertical="center"/>
    </xf>
    <xf numFmtId="49" fontId="3" fillId="0" borderId="2" xfId="0" quotePrefix="1" applyNumberFormat="1" applyFont="1" applyBorder="1" applyAlignment="1">
      <alignment horizontal="left"/>
    </xf>
    <xf numFmtId="49" fontId="3" fillId="0" borderId="6" xfId="0" applyNumberFormat="1" applyFont="1" applyBorder="1" applyAlignment="1">
      <alignment vertical="center"/>
    </xf>
    <xf numFmtId="49" fontId="1" fillId="0" borderId="3" xfId="0" applyNumberFormat="1" applyFont="1" applyBorder="1"/>
    <xf numFmtId="49" fontId="3" fillId="6" borderId="3" xfId="0" applyNumberFormat="1" applyFont="1" applyFill="1" applyBorder="1"/>
    <xf numFmtId="49" fontId="3" fillId="0" borderId="3" xfId="0" applyNumberFormat="1" applyFont="1" applyBorder="1" applyProtection="1">
      <protection locked="0"/>
    </xf>
    <xf numFmtId="0" fontId="1" fillId="0" borderId="4" xfId="0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49" fontId="1" fillId="0" borderId="4" xfId="0" applyNumberFormat="1" applyFont="1" applyBorder="1"/>
    <xf numFmtId="49" fontId="10" fillId="0" borderId="4" xfId="0" applyNumberFormat="1" applyFont="1" applyBorder="1" applyAlignment="1">
      <alignment horizontal="left"/>
    </xf>
    <xf numFmtId="49" fontId="3" fillId="0" borderId="4" xfId="0" applyNumberFormat="1" applyFont="1" applyBorder="1"/>
    <xf numFmtId="49" fontId="3" fillId="0" borderId="11" xfId="0" applyNumberFormat="1" applyFont="1" applyBorder="1"/>
    <xf numFmtId="49" fontId="4" fillId="0" borderId="8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right"/>
    </xf>
    <xf numFmtId="49" fontId="2" fillId="6" borderId="0" xfId="0" quotePrefix="1" applyNumberFormat="1" applyFont="1" applyFill="1" applyBorder="1" applyAlignment="1">
      <alignment horizontal="center"/>
    </xf>
    <xf numFmtId="3" fontId="4" fillId="6" borderId="0" xfId="0" applyNumberFormat="1" applyFont="1" applyFill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49" fontId="19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49" fontId="1" fillId="0" borderId="0" xfId="0" quotePrefix="1" applyNumberFormat="1" applyFont="1" applyBorder="1"/>
    <xf numFmtId="3" fontId="30" fillId="0" borderId="0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/>
    </xf>
    <xf numFmtId="49" fontId="14" fillId="0" borderId="8" xfId="0" applyNumberFormat="1" applyFont="1" applyBorder="1"/>
    <xf numFmtId="15" fontId="11" fillId="0" borderId="5" xfId="0" applyNumberFormat="1" applyFont="1" applyBorder="1" applyAlignment="1">
      <alignment horizontal="center" vertical="center" wrapText="1"/>
    </xf>
    <xf numFmtId="15" fontId="0" fillId="0" borderId="5" xfId="0" applyNumberFormat="1" applyBorder="1" applyAlignment="1">
      <alignment vertical="center"/>
    </xf>
    <xf numFmtId="15" fontId="0" fillId="0" borderId="6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3" fillId="0" borderId="0" xfId="0" applyNumberFormat="1" applyFont="1" applyBorder="1" applyAlignment="1">
      <alignment horizontal="right" vertical="center"/>
    </xf>
    <xf numFmtId="49" fontId="0" fillId="0" borderId="0" xfId="0" applyNumberFormat="1" applyBorder="1"/>
    <xf numFmtId="49" fontId="3" fillId="0" borderId="7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right"/>
    </xf>
    <xf numFmtId="49" fontId="1" fillId="0" borderId="12" xfId="0" applyNumberFormat="1" applyFont="1" applyBorder="1" applyAlignment="1" applyProtection="1">
      <alignment horizontal="center"/>
      <protection locked="0"/>
    </xf>
    <xf numFmtId="49" fontId="1" fillId="0" borderId="9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0" xfId="0" applyNumberFormat="1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49" fontId="9" fillId="8" borderId="5" xfId="0" applyNumberFormat="1" applyFont="1" applyFill="1" applyBorder="1" applyAlignment="1">
      <alignment horizontal="center"/>
    </xf>
    <xf numFmtId="49" fontId="0" fillId="8" borderId="6" xfId="0" applyNumberFormat="1" applyFill="1" applyBorder="1" applyAlignment="1">
      <alignment horizontal="center"/>
    </xf>
    <xf numFmtId="0" fontId="1" fillId="8" borderId="4" xfId="0" applyNumberFormat="1" applyFont="1" applyFill="1" applyBorder="1" applyAlignment="1">
      <alignment horizontal="center"/>
    </xf>
    <xf numFmtId="0" fontId="3" fillId="8" borderId="11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49" fontId="12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 vertical="center"/>
    </xf>
    <xf numFmtId="1" fontId="5" fillId="0" borderId="9" xfId="0" applyNumberFormat="1" applyFont="1" applyBorder="1" applyAlignment="1" applyProtection="1">
      <alignment horizontal="right" vertical="center"/>
      <protection locked="0"/>
    </xf>
    <xf numFmtId="1" fontId="5" fillId="0" borderId="1" xfId="0" applyNumberFormat="1" applyFont="1" applyBorder="1" applyAlignment="1" applyProtection="1">
      <alignment horizontal="right" vertical="center"/>
      <protection locked="0"/>
    </xf>
    <xf numFmtId="1" fontId="5" fillId="0" borderId="10" xfId="0" applyNumberFormat="1" applyFont="1" applyBorder="1" applyAlignment="1" applyProtection="1">
      <alignment horizontal="right" vertical="center"/>
      <protection locked="0"/>
    </xf>
    <xf numFmtId="3" fontId="5" fillId="4" borderId="9" xfId="0" applyNumberFormat="1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vertical="center"/>
    </xf>
    <xf numFmtId="3" fontId="5" fillId="4" borderId="10" xfId="0" applyNumberFormat="1" applyFont="1" applyFill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3" fontId="5" fillId="0" borderId="9" xfId="0" applyNumberFormat="1" applyFont="1" applyBorder="1" applyAlignment="1" applyProtection="1">
      <alignment vertical="center"/>
      <protection locked="0"/>
    </xf>
    <xf numFmtId="3" fontId="5" fillId="0" borderId="1" xfId="0" applyNumberFormat="1" applyFont="1" applyBorder="1" applyAlignment="1" applyProtection="1">
      <alignment vertical="center"/>
      <protection locked="0"/>
    </xf>
    <xf numFmtId="3" fontId="5" fillId="0" borderId="10" xfId="0" applyNumberFormat="1" applyFont="1" applyBorder="1" applyAlignment="1" applyProtection="1">
      <alignment vertical="center"/>
      <protection locked="0"/>
    </xf>
    <xf numFmtId="49" fontId="9" fillId="0" borderId="7" xfId="0" applyNumberFormat="1" applyFont="1" applyBorder="1" applyAlignment="1">
      <alignment vertical="top"/>
    </xf>
    <xf numFmtId="49" fontId="9" fillId="0" borderId="4" xfId="0" applyNumberFormat="1" applyFont="1" applyBorder="1" applyAlignment="1">
      <alignment vertical="top"/>
    </xf>
    <xf numFmtId="49" fontId="9" fillId="0" borderId="11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5" fillId="0" borderId="12" xfId="0" applyNumberFormat="1" applyFont="1" applyBorder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0" xfId="0" applyNumberFormat="1" applyBorder="1"/>
    <xf numFmtId="49" fontId="11" fillId="0" borderId="4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49" fontId="31" fillId="6" borderId="0" xfId="0" applyNumberFormat="1" applyFont="1" applyFill="1" applyAlignment="1">
      <alignment horizontal="left"/>
    </xf>
    <xf numFmtId="49" fontId="2" fillId="0" borderId="9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3" fillId="6" borderId="0" xfId="0" applyNumberFormat="1" applyFont="1" applyFill="1" applyAlignment="1">
      <alignment horizontal="left"/>
    </xf>
    <xf numFmtId="49" fontId="0" fillId="6" borderId="0" xfId="0" applyNumberFormat="1" applyFill="1" applyAlignment="1">
      <alignment horizontal="left"/>
    </xf>
    <xf numFmtId="0" fontId="1" fillId="0" borderId="2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wrapText="1"/>
      <protection locked="0"/>
    </xf>
    <xf numFmtId="49" fontId="1" fillId="0" borderId="8" xfId="0" applyNumberFormat="1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6" xfId="0" applyBorder="1"/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/>
    <xf numFmtId="1" fontId="5" fillId="6" borderId="9" xfId="0" applyNumberFormat="1" applyFont="1" applyFill="1" applyBorder="1" applyAlignment="1" applyProtection="1">
      <alignment horizontal="right" vertical="center"/>
      <protection locked="0"/>
    </xf>
    <xf numFmtId="1" fontId="5" fillId="6" borderId="1" xfId="0" applyNumberFormat="1" applyFont="1" applyFill="1" applyBorder="1" applyAlignment="1" applyProtection="1">
      <alignment horizontal="right" vertical="center"/>
      <protection locked="0"/>
    </xf>
    <xf numFmtId="1" fontId="5" fillId="6" borderId="10" xfId="0" applyNumberFormat="1" applyFont="1" applyFill="1" applyBorder="1" applyAlignment="1" applyProtection="1">
      <alignment horizontal="right" vertical="center"/>
      <protection locked="0"/>
    </xf>
    <xf numFmtId="49" fontId="3" fillId="6" borderId="5" xfId="0" applyNumberFormat="1" applyFont="1" applyFill="1" applyBorder="1" applyAlignment="1">
      <alignment horizontal="left"/>
    </xf>
    <xf numFmtId="49" fontId="0" fillId="6" borderId="5" xfId="0" applyNumberFormat="1" applyFill="1" applyBorder="1" applyAlignment="1">
      <alignment horizontal="left"/>
    </xf>
    <xf numFmtId="49" fontId="19" fillId="0" borderId="9" xfId="0" applyNumberFormat="1" applyFont="1" applyBorder="1"/>
    <xf numFmtId="49" fontId="19" fillId="0" borderId="1" xfId="0" applyNumberFormat="1" applyFont="1" applyBorder="1"/>
    <xf numFmtId="49" fontId="19" fillId="0" borderId="10" xfId="0" applyNumberFormat="1" applyFont="1" applyBorder="1"/>
    <xf numFmtId="3" fontId="1" fillId="4" borderId="9" xfId="0" applyNumberFormat="1" applyFont="1" applyFill="1" applyBorder="1" applyAlignment="1">
      <alignment horizontal="right"/>
    </xf>
    <xf numFmtId="3" fontId="1" fillId="4" borderId="1" xfId="0" applyNumberFormat="1" applyFont="1" applyFill="1" applyBorder="1" applyAlignment="1">
      <alignment horizontal="right"/>
    </xf>
    <xf numFmtId="3" fontId="1" fillId="4" borderId="10" xfId="0" applyNumberFormat="1" applyFont="1" applyFill="1" applyBorder="1" applyAlignment="1">
      <alignment horizontal="right"/>
    </xf>
    <xf numFmtId="9" fontId="10" fillId="4" borderId="9" xfId="0" applyNumberFormat="1" applyFont="1" applyFill="1" applyBorder="1" applyAlignment="1">
      <alignment horizontal="center" wrapText="1"/>
    </xf>
    <xf numFmtId="9" fontId="0" fillId="0" borderId="1" xfId="0" applyNumberFormat="1" applyBorder="1"/>
    <xf numFmtId="9" fontId="0" fillId="0" borderId="10" xfId="0" applyNumberFormat="1" applyBorder="1"/>
    <xf numFmtId="0" fontId="0" fillId="0" borderId="0" xfId="0" applyBorder="1"/>
    <xf numFmtId="49" fontId="3" fillId="0" borderId="0" xfId="0" applyNumberFormat="1" applyFont="1" applyBorder="1"/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49" fontId="2" fillId="6" borderId="9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vertical="center" wrapText="1"/>
    </xf>
    <xf numFmtId="49" fontId="2" fillId="6" borderId="4" xfId="0" applyNumberFormat="1" applyFont="1" applyFill="1" applyBorder="1" applyAlignment="1">
      <alignment vertical="center" wrapText="1"/>
    </xf>
    <xf numFmtId="49" fontId="2" fillId="6" borderId="10" xfId="0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vertical="center" wrapText="1"/>
    </xf>
    <xf numFmtId="0" fontId="24" fillId="0" borderId="8" xfId="0" applyFont="1" applyBorder="1" applyAlignment="1" applyProtection="1">
      <alignment vertical="top" wrapText="1"/>
      <protection locked="0"/>
    </xf>
    <xf numFmtId="0" fontId="24" fillId="0" borderId="5" xfId="0" applyFont="1" applyBorder="1" applyAlignment="1" applyProtection="1">
      <alignment vertical="top" wrapText="1"/>
      <protection locked="0"/>
    </xf>
    <xf numFmtId="0" fontId="24" fillId="0" borderId="6" xfId="0" applyFont="1" applyBorder="1" applyAlignment="1" applyProtection="1">
      <alignment vertical="top" wrapText="1"/>
      <protection locked="0"/>
    </xf>
    <xf numFmtId="0" fontId="24" fillId="0" borderId="2" xfId="0" applyFont="1" applyBorder="1" applyAlignment="1" applyProtection="1">
      <alignment vertical="top" wrapText="1"/>
      <protection locked="0"/>
    </xf>
    <xf numFmtId="0" fontId="24" fillId="0" borderId="0" xfId="0" applyFont="1" applyBorder="1" applyAlignment="1" applyProtection="1">
      <alignment vertical="top" wrapText="1"/>
      <protection locked="0"/>
    </xf>
    <xf numFmtId="0" fontId="24" fillId="0" borderId="3" xfId="0" applyFont="1" applyBorder="1" applyAlignment="1" applyProtection="1">
      <alignment vertical="top" wrapText="1"/>
      <protection locked="0"/>
    </xf>
    <xf numFmtId="0" fontId="24" fillId="0" borderId="7" xfId="0" applyFont="1" applyBorder="1" applyAlignment="1" applyProtection="1">
      <alignment vertical="top" wrapText="1"/>
      <protection locked="0"/>
    </xf>
    <xf numFmtId="0" fontId="24" fillId="0" borderId="4" xfId="0" applyFont="1" applyBorder="1" applyAlignment="1" applyProtection="1">
      <alignment vertical="top" wrapText="1"/>
      <protection locked="0"/>
    </xf>
    <xf numFmtId="0" fontId="24" fillId="0" borderId="11" xfId="0" applyFont="1" applyBorder="1" applyAlignment="1" applyProtection="1">
      <alignment vertical="top" wrapText="1"/>
      <protection locked="0"/>
    </xf>
    <xf numFmtId="49" fontId="19" fillId="0" borderId="0" xfId="0" applyNumberFormat="1" applyFont="1" applyBorder="1" applyAlignment="1">
      <alignment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49" fontId="1" fillId="0" borderId="9" xfId="0" applyNumberFormat="1" applyFont="1" applyBorder="1"/>
    <xf numFmtId="49" fontId="1" fillId="0" borderId="1" xfId="0" applyNumberFormat="1" applyFont="1" applyBorder="1"/>
    <xf numFmtId="49" fontId="1" fillId="0" borderId="10" xfId="0" applyNumberFormat="1" applyFont="1" applyBorder="1"/>
    <xf numFmtId="9" fontId="3" fillId="6" borderId="0" xfId="0" applyNumberFormat="1" applyFont="1" applyFill="1" applyBorder="1" applyAlignment="1">
      <alignment vertical="center"/>
    </xf>
    <xf numFmtId="9" fontId="0" fillId="6" borderId="0" xfId="0" applyNumberFormat="1" applyFill="1" applyBorder="1" applyAlignment="1">
      <alignment vertical="center"/>
    </xf>
    <xf numFmtId="9" fontId="0" fillId="6" borderId="4" xfId="0" applyNumberForma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4" fillId="0" borderId="8" xfId="0" applyNumberFormat="1" applyFont="1" applyBorder="1" applyAlignment="1" applyProtection="1">
      <alignment vertical="top" wrapText="1"/>
      <protection locked="0"/>
    </xf>
    <xf numFmtId="49" fontId="24" fillId="0" borderId="5" xfId="0" applyNumberFormat="1" applyFont="1" applyBorder="1" applyAlignment="1" applyProtection="1">
      <alignment vertical="top" wrapText="1"/>
      <protection locked="0"/>
    </xf>
    <xf numFmtId="49" fontId="24" fillId="0" borderId="6" xfId="0" applyNumberFormat="1" applyFont="1" applyBorder="1" applyAlignment="1" applyProtection="1">
      <alignment vertical="top" wrapText="1"/>
      <protection locked="0"/>
    </xf>
    <xf numFmtId="49" fontId="24" fillId="0" borderId="2" xfId="0" applyNumberFormat="1" applyFont="1" applyBorder="1" applyAlignment="1" applyProtection="1">
      <alignment vertical="top" wrapText="1"/>
      <protection locked="0"/>
    </xf>
    <xf numFmtId="49" fontId="24" fillId="0" borderId="0" xfId="0" applyNumberFormat="1" applyFont="1" applyBorder="1" applyAlignment="1" applyProtection="1">
      <alignment vertical="top" wrapText="1"/>
      <protection locked="0"/>
    </xf>
    <xf numFmtId="49" fontId="24" fillId="0" borderId="3" xfId="0" applyNumberFormat="1" applyFont="1" applyBorder="1" applyAlignment="1" applyProtection="1">
      <alignment vertical="top" wrapText="1"/>
      <protection locked="0"/>
    </xf>
    <xf numFmtId="49" fontId="24" fillId="0" borderId="7" xfId="0" applyNumberFormat="1" applyFont="1" applyBorder="1" applyAlignment="1" applyProtection="1">
      <alignment vertical="top" wrapText="1"/>
      <protection locked="0"/>
    </xf>
    <xf numFmtId="49" fontId="24" fillId="0" borderId="4" xfId="0" applyNumberFormat="1" applyFont="1" applyBorder="1" applyAlignment="1" applyProtection="1">
      <alignment vertical="top" wrapText="1"/>
      <protection locked="0"/>
    </xf>
    <xf numFmtId="49" fontId="24" fillId="0" borderId="11" xfId="0" applyNumberFormat="1" applyFont="1" applyBorder="1" applyAlignment="1" applyProtection="1">
      <alignment vertical="top" wrapText="1"/>
      <protection locked="0"/>
    </xf>
    <xf numFmtId="49" fontId="1" fillId="0" borderId="0" xfId="0" applyNumberFormat="1" applyFont="1" applyBorder="1" applyAlignment="1" applyProtection="1">
      <alignment horizontal="left"/>
      <protection locked="0"/>
    </xf>
    <xf numFmtId="49" fontId="24" fillId="0" borderId="7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 applyProtection="1">
      <protection locked="0"/>
    </xf>
    <xf numFmtId="49" fontId="20" fillId="0" borderId="8" xfId="0" applyNumberFormat="1" applyFont="1" applyBorder="1"/>
    <xf numFmtId="49" fontId="9" fillId="0" borderId="8" xfId="0" applyNumberFormat="1" applyFont="1" applyBorder="1" applyAlignment="1">
      <alignment vertical="top"/>
    </xf>
    <xf numFmtId="49" fontId="9" fillId="0" borderId="5" xfId="0" applyNumberFormat="1" applyFont="1" applyBorder="1" applyAlignment="1">
      <alignment vertical="top"/>
    </xf>
    <xf numFmtId="49" fontId="9" fillId="0" borderId="6" xfId="0" applyNumberFormat="1" applyFont="1" applyBorder="1" applyAlignment="1">
      <alignment vertical="top"/>
    </xf>
    <xf numFmtId="49" fontId="12" fillId="0" borderId="4" xfId="0" applyNumberFormat="1" applyFont="1" applyBorder="1" applyAlignment="1">
      <alignment vertical="center"/>
    </xf>
    <xf numFmtId="49" fontId="10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top"/>
    </xf>
    <xf numFmtId="167" fontId="24" fillId="0" borderId="7" xfId="0" applyNumberFormat="1" applyFont="1" applyBorder="1" applyAlignment="1" applyProtection="1">
      <alignment horizontal="left" vertical="center"/>
      <protection locked="0"/>
    </xf>
    <xf numFmtId="167" fontId="24" fillId="0" borderId="4" xfId="0" applyNumberFormat="1" applyFont="1" applyBorder="1" applyAlignment="1" applyProtection="1">
      <alignment horizontal="left" vertical="center"/>
      <protection locked="0"/>
    </xf>
    <xf numFmtId="167" fontId="24" fillId="0" borderId="11" xfId="0" applyNumberFormat="1" applyFont="1" applyBorder="1" applyAlignment="1" applyProtection="1">
      <alignment horizontal="left" vertical="center"/>
      <protection locked="0"/>
    </xf>
    <xf numFmtId="167" fontId="24" fillId="0" borderId="7" xfId="0" applyNumberFormat="1" applyFont="1" applyBorder="1" applyAlignment="1" applyProtection="1">
      <alignment horizontal="left"/>
      <protection locked="0"/>
    </xf>
    <xf numFmtId="167" fontId="24" fillId="0" borderId="4" xfId="0" applyNumberFormat="1" applyFont="1" applyBorder="1" applyAlignment="1" applyProtection="1">
      <alignment horizontal="left"/>
      <protection locked="0"/>
    </xf>
    <xf numFmtId="167" fontId="24" fillId="0" borderId="11" xfId="0" applyNumberFormat="1" applyFont="1" applyBorder="1" applyAlignment="1" applyProtection="1">
      <alignment horizontal="left"/>
      <protection locked="0"/>
    </xf>
    <xf numFmtId="49" fontId="1" fillId="6" borderId="20" xfId="0" applyNumberFormat="1" applyFont="1" applyFill="1" applyBorder="1" applyAlignment="1">
      <alignment horizontal="left" vertical="top" wrapText="1"/>
    </xf>
    <xf numFmtId="49" fontId="0" fillId="6" borderId="20" xfId="0" applyNumberFormat="1" applyFill="1" applyBorder="1" applyAlignment="1">
      <alignment horizontal="left" vertical="top"/>
    </xf>
    <xf numFmtId="49" fontId="1" fillId="0" borderId="9" xfId="0" applyNumberFormat="1" applyFont="1" applyBorder="1" applyAlignment="1">
      <alignment horizontal="left"/>
    </xf>
    <xf numFmtId="49" fontId="0" fillId="0" borderId="1" xfId="0" applyNumberFormat="1" applyBorder="1"/>
    <xf numFmtId="49" fontId="0" fillId="0" borderId="10" xfId="0" applyNumberFormat="1" applyBorder="1"/>
    <xf numFmtId="49" fontId="1" fillId="6" borderId="0" xfId="0" applyNumberFormat="1" applyFont="1" applyFill="1" applyAlignment="1">
      <alignment horizontal="left"/>
    </xf>
    <xf numFmtId="1" fontId="5" fillId="6" borderId="0" xfId="0" applyNumberFormat="1" applyFont="1" applyFill="1" applyAlignment="1">
      <alignment horizontal="right" vertical="center"/>
    </xf>
    <xf numFmtId="49" fontId="1" fillId="6" borderId="9" xfId="0" applyNumberFormat="1" applyFont="1" applyFill="1" applyBorder="1" applyAlignment="1">
      <alignment horizontal="left"/>
    </xf>
    <xf numFmtId="49" fontId="0" fillId="6" borderId="1" xfId="0" applyNumberFormat="1" applyFill="1" applyBorder="1" applyAlignment="1">
      <alignment horizontal="left"/>
    </xf>
    <xf numFmtId="49" fontId="0" fillId="6" borderId="10" xfId="0" applyNumberFormat="1" applyFill="1" applyBorder="1" applyAlignment="1">
      <alignment horizontal="left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6" xfId="0" applyNumberFormat="1" applyBorder="1" applyAlignment="1">
      <alignment vertical="top"/>
    </xf>
    <xf numFmtId="1" fontId="5" fillId="6" borderId="5" xfId="0" applyNumberFormat="1" applyFont="1" applyFill="1" applyBorder="1" applyAlignment="1">
      <alignment horizontal="right" vertical="center"/>
    </xf>
    <xf numFmtId="49" fontId="20" fillId="0" borderId="5" xfId="0" applyNumberFormat="1" applyFont="1" applyBorder="1"/>
    <xf numFmtId="49" fontId="20" fillId="0" borderId="6" xfId="0" applyNumberFormat="1" applyFont="1" applyBorder="1"/>
    <xf numFmtId="49" fontId="24" fillId="0" borderId="4" xfId="0" applyNumberFormat="1" applyFont="1" applyBorder="1" applyProtection="1">
      <protection locked="0"/>
    </xf>
    <xf numFmtId="49" fontId="24" fillId="0" borderId="11" xfId="0" applyNumberFormat="1" applyFont="1" applyBorder="1" applyProtection="1">
      <protection locked="0"/>
    </xf>
    <xf numFmtId="49" fontId="24" fillId="0" borderId="7" xfId="0" applyNumberFormat="1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Protection="1">
      <protection locked="0"/>
    </xf>
    <xf numFmtId="49" fontId="4" fillId="0" borderId="0" xfId="0" applyNumberFormat="1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49" fontId="26" fillId="0" borderId="4" xfId="0" applyNumberFormat="1" applyFont="1" applyBorder="1" applyProtection="1">
      <protection locked="0"/>
    </xf>
    <xf numFmtId="49" fontId="26" fillId="0" borderId="11" xfId="0" applyNumberFormat="1" applyFont="1" applyBorder="1" applyProtection="1">
      <protection locked="0"/>
    </xf>
    <xf numFmtId="49" fontId="19" fillId="0" borderId="0" xfId="0" applyNumberFormat="1" applyFont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18" fillId="6" borderId="9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49" fontId="9" fillId="0" borderId="8" xfId="0" applyNumberFormat="1" applyFont="1" applyBorder="1"/>
    <xf numFmtId="49" fontId="0" fillId="0" borderId="5" xfId="0" applyNumberFormat="1" applyBorder="1"/>
    <xf numFmtId="49" fontId="0" fillId="0" borderId="6" xfId="0" applyNumberFormat="1" applyBorder="1"/>
    <xf numFmtId="49" fontId="9" fillId="0" borderId="5" xfId="0" applyNumberFormat="1" applyFont="1" applyBorder="1"/>
    <xf numFmtId="49" fontId="9" fillId="0" borderId="8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vertical="top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49" fontId="2" fillId="8" borderId="0" xfId="0" applyNumberFormat="1" applyFont="1" applyFill="1" applyBorder="1" applyAlignment="1">
      <alignment horizontal="center" vertical="top" wrapText="1"/>
    </xf>
    <xf numFmtId="49" fontId="2" fillId="8" borderId="0" xfId="0" applyNumberFormat="1" applyFont="1" applyFill="1" applyBorder="1" applyAlignment="1">
      <alignment horizontal="center" vertical="top"/>
    </xf>
    <xf numFmtId="49" fontId="2" fillId="8" borderId="3" xfId="0" applyNumberFormat="1" applyFont="1" applyFill="1" applyBorder="1" applyAlignment="1">
      <alignment horizontal="center" vertical="top"/>
    </xf>
    <xf numFmtId="49" fontId="2" fillId="8" borderId="4" xfId="0" applyNumberFormat="1" applyFont="1" applyFill="1" applyBorder="1" applyAlignment="1">
      <alignment horizontal="center"/>
    </xf>
    <xf numFmtId="49" fontId="2" fillId="8" borderId="11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49" fontId="19" fillId="0" borderId="3" xfId="0" applyNumberFormat="1" applyFont="1" applyBorder="1" applyAlignment="1">
      <alignment horizontal="center"/>
    </xf>
    <xf numFmtId="0" fontId="24" fillId="0" borderId="4" xfId="0" applyFont="1" applyBorder="1" applyProtection="1">
      <protection locked="0"/>
    </xf>
    <xf numFmtId="0" fontId="24" fillId="0" borderId="11" xfId="0" applyFont="1" applyBorder="1" applyProtection="1">
      <protection locked="0"/>
    </xf>
    <xf numFmtId="167" fontId="19" fillId="0" borderId="0" xfId="0" applyNumberFormat="1" applyFont="1" applyAlignment="1">
      <alignment horizontal="center" vertical="center"/>
    </xf>
    <xf numFmtId="167" fontId="19" fillId="0" borderId="3" xfId="0" applyNumberFormat="1" applyFont="1" applyBorder="1" applyAlignment="1">
      <alignment horizontal="center" vertical="center"/>
    </xf>
    <xf numFmtId="49" fontId="38" fillId="0" borderId="7" xfId="3" applyNumberFormat="1" applyBorder="1" applyAlignment="1" applyProtection="1">
      <alignment horizontal="left"/>
      <protection locked="0"/>
    </xf>
    <xf numFmtId="49" fontId="0" fillId="0" borderId="4" xfId="0" applyNumberFormat="1" applyBorder="1" applyProtection="1">
      <protection locked="0"/>
    </xf>
    <xf numFmtId="49" fontId="0" fillId="0" borderId="11" xfId="0" applyNumberFormat="1" applyBorder="1" applyProtection="1">
      <protection locked="0"/>
    </xf>
    <xf numFmtId="49" fontId="20" fillId="0" borderId="8" xfId="0" applyNumberFormat="1" applyFont="1" applyBorder="1" applyAlignment="1">
      <alignment horizontal="left"/>
    </xf>
    <xf numFmtId="15" fontId="11" fillId="0" borderId="9" xfId="0" applyNumberFormat="1" applyFont="1" applyBorder="1" applyAlignment="1">
      <alignment horizontal="center" vertical="center" wrapText="1"/>
    </xf>
    <xf numFmtId="15" fontId="0" fillId="0" borderId="1" xfId="0" applyNumberFormat="1" applyBorder="1" applyAlignment="1">
      <alignment vertical="center"/>
    </xf>
    <xf numFmtId="15" fontId="0" fillId="0" borderId="10" xfId="0" applyNumberFormat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3" xfId="0" applyFont="1" applyBorder="1" applyAlignment="1">
      <alignment horizontal="center"/>
    </xf>
    <xf numFmtId="49" fontId="12" fillId="0" borderId="4" xfId="0" applyNumberFormat="1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3" fontId="0" fillId="7" borderId="12" xfId="0" applyNumberFormat="1" applyFill="1" applyBorder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36" fillId="6" borderId="0" xfId="0" applyFont="1" applyFill="1" applyAlignment="1">
      <alignment horizontal="right" vertical="center"/>
    </xf>
    <xf numFmtId="49" fontId="33" fillId="6" borderId="0" xfId="0" applyNumberFormat="1" applyFont="1" applyFill="1" applyBorder="1"/>
    <xf numFmtId="49" fontId="35" fillId="6" borderId="0" xfId="0" applyNumberFormat="1" applyFont="1" applyFill="1" applyBorder="1"/>
    <xf numFmtId="0" fontId="35" fillId="6" borderId="0" xfId="0" applyFont="1" applyFill="1" applyBorder="1"/>
    <xf numFmtId="0" fontId="31" fillId="6" borderId="0" xfId="0" applyFont="1" applyFill="1" applyBorder="1"/>
    <xf numFmtId="3" fontId="4" fillId="4" borderId="9" xfId="0" applyNumberFormat="1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vertical="center"/>
    </xf>
    <xf numFmtId="3" fontId="4" fillId="4" borderId="10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9" xfId="0" quotePrefix="1" applyNumberFormat="1" applyFont="1" applyBorder="1" applyAlignment="1">
      <alignment horizontal="center"/>
    </xf>
    <xf numFmtId="49" fontId="2" fillId="0" borderId="1" xfId="0" quotePrefix="1" applyNumberFormat="1" applyFont="1" applyBorder="1" applyAlignment="1">
      <alignment horizontal="center"/>
    </xf>
    <xf numFmtId="49" fontId="2" fillId="0" borderId="10" xfId="0" quotePrefix="1" applyNumberFormat="1" applyFont="1" applyBorder="1" applyAlignment="1">
      <alignment horizontal="center"/>
    </xf>
    <xf numFmtId="49" fontId="2" fillId="6" borderId="9" xfId="0" quotePrefix="1" applyNumberFormat="1" applyFont="1" applyFill="1" applyBorder="1" applyAlignment="1">
      <alignment horizontal="center"/>
    </xf>
    <xf numFmtId="49" fontId="2" fillId="6" borderId="1" xfId="0" quotePrefix="1" applyNumberFormat="1" applyFont="1" applyFill="1" applyBorder="1" applyAlignment="1">
      <alignment horizontal="center"/>
    </xf>
    <xf numFmtId="49" fontId="2" fillId="6" borderId="10" xfId="0" quotePrefix="1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10" fillId="0" borderId="0" xfId="0" applyNumberFormat="1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3" fontId="1" fillId="0" borderId="12" xfId="0" applyNumberFormat="1" applyFont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10" xfId="0" applyNumberFormat="1" applyFont="1" applyBorder="1" applyAlignment="1">
      <alignment vertical="center" wrapText="1"/>
    </xf>
    <xf numFmtId="49" fontId="3" fillId="0" borderId="9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0" fontId="1" fillId="6" borderId="12" xfId="0" applyNumberFormat="1" applyFont="1" applyFill="1" applyBorder="1" applyAlignment="1">
      <alignment horizontal="center" vertical="center" wrapText="1"/>
    </xf>
    <xf numFmtId="0" fontId="0" fillId="6" borderId="12" xfId="0" applyNumberForma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wrapText="1"/>
    </xf>
    <xf numFmtId="0" fontId="19" fillId="0" borderId="0" xfId="0" applyFont="1" applyAlignment="1">
      <alignment horizontal="left" vertical="top"/>
    </xf>
    <xf numFmtId="0" fontId="0" fillId="0" borderId="0" xfId="0"/>
    <xf numFmtId="165" fontId="0" fillId="0" borderId="12" xfId="0" applyNumberFormat="1" applyBorder="1" applyAlignment="1">
      <alignment horizontal="right"/>
    </xf>
    <xf numFmtId="0" fontId="0" fillId="0" borderId="12" xfId="0" applyBorder="1"/>
    <xf numFmtId="9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5" fontId="0" fillId="0" borderId="9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9" fontId="0" fillId="0" borderId="9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165" fontId="1" fillId="0" borderId="12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0" fontId="0" fillId="0" borderId="8" xfId="0" applyBorder="1" applyAlignment="1">
      <alignment wrapText="1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1" xfId="0" applyFont="1" applyBorder="1"/>
    <xf numFmtId="0" fontId="0" fillId="0" borderId="1" xfId="0" applyBorder="1"/>
    <xf numFmtId="0" fontId="11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wrapText="1"/>
    </xf>
    <xf numFmtId="0" fontId="24" fillId="0" borderId="6" xfId="0" applyFont="1" applyBorder="1" applyAlignment="1">
      <alignment wrapText="1"/>
    </xf>
    <xf numFmtId="0" fontId="24" fillId="0" borderId="0" xfId="0" applyFont="1" applyAlignment="1">
      <alignment wrapText="1"/>
    </xf>
    <xf numFmtId="0" fontId="24" fillId="0" borderId="3" xfId="0" applyFont="1" applyBorder="1" applyAlignment="1">
      <alignment wrapText="1"/>
    </xf>
    <xf numFmtId="0" fontId="24" fillId="0" borderId="0" xfId="0" applyFont="1"/>
    <xf numFmtId="0" fontId="24" fillId="0" borderId="3" xfId="0" applyFont="1" applyBorder="1"/>
    <xf numFmtId="0" fontId="0" fillId="4" borderId="4" xfId="0" applyFill="1" applyBorder="1" applyAlignment="1">
      <alignment horizontal="left"/>
    </xf>
    <xf numFmtId="0" fontId="10" fillId="0" borderId="2" xfId="0" applyFont="1" applyBorder="1" applyAlignment="1">
      <alignment wrapText="1"/>
    </xf>
    <xf numFmtId="0" fontId="21" fillId="0" borderId="0" xfId="0" applyFont="1" applyAlignment="1">
      <alignment wrapText="1"/>
    </xf>
    <xf numFmtId="0" fontId="10" fillId="0" borderId="5" xfId="0" applyFont="1" applyBorder="1" applyAlignment="1">
      <alignment vertical="center"/>
    </xf>
    <xf numFmtId="0" fontId="0" fillId="0" borderId="2" xfId="0" applyBorder="1"/>
    <xf numFmtId="165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right"/>
    </xf>
    <xf numFmtId="0" fontId="10" fillId="0" borderId="8" xfId="0" applyFont="1" applyBorder="1"/>
    <xf numFmtId="0" fontId="10" fillId="0" borderId="5" xfId="0" applyFont="1" applyBorder="1"/>
    <xf numFmtId="0" fontId="10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67" fontId="0" fillId="4" borderId="5" xfId="0" applyNumberForma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18" fillId="2" borderId="5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165" fontId="9" fillId="0" borderId="12" xfId="0" applyNumberFormat="1" applyFont="1" applyBorder="1" applyAlignment="1">
      <alignment horizontal="center"/>
    </xf>
    <xf numFmtId="0" fontId="16" fillId="0" borderId="9" xfId="0" applyFont="1" applyBorder="1"/>
    <xf numFmtId="0" fontId="0" fillId="0" borderId="10" xfId="0" applyBorder="1"/>
    <xf numFmtId="0" fontId="4" fillId="5" borderId="0" xfId="0" applyFont="1" applyFill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167" fontId="2" fillId="0" borderId="9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0" fontId="16" fillId="0" borderId="1" xfId="0" applyFont="1" applyBorder="1" applyAlignment="1" applyProtection="1">
      <alignment horizontal="center" vertical="top"/>
      <protection locked="0"/>
    </xf>
    <xf numFmtId="167" fontId="0" fillId="0" borderId="5" xfId="0" applyNumberFormat="1" applyBorder="1" applyAlignment="1" applyProtection="1">
      <alignment wrapText="1"/>
      <protection locked="0"/>
    </xf>
    <xf numFmtId="167" fontId="0" fillId="0" borderId="5" xfId="0" applyNumberFormat="1" applyBorder="1" applyAlignment="1">
      <alignment wrapText="1"/>
    </xf>
    <xf numFmtId="167" fontId="0" fillId="0" borderId="6" xfId="0" applyNumberFormat="1" applyBorder="1" applyAlignment="1">
      <alignment wrapText="1"/>
    </xf>
    <xf numFmtId="167" fontId="0" fillId="0" borderId="4" xfId="0" applyNumberFormat="1" applyBorder="1" applyAlignment="1">
      <alignment wrapText="1"/>
    </xf>
    <xf numFmtId="167" fontId="0" fillId="0" borderId="11" xfId="0" applyNumberFormat="1" applyBorder="1" applyAlignment="1">
      <alignment wrapText="1"/>
    </xf>
    <xf numFmtId="0" fontId="0" fillId="0" borderId="8" xfId="0" applyBorder="1" applyAlignment="1" applyProtection="1">
      <alignment wrapText="1"/>
      <protection locked="0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0" xfId="0" applyFont="1" applyAlignment="1">
      <alignment horizontal="left"/>
    </xf>
    <xf numFmtId="0" fontId="0" fillId="0" borderId="7" xfId="0" applyBorder="1" applyProtection="1">
      <protection locked="0"/>
    </xf>
    <xf numFmtId="0" fontId="0" fillId="0" borderId="4" xfId="0" applyBorder="1"/>
    <xf numFmtId="0" fontId="12" fillId="0" borderId="0" xfId="0" applyFont="1" applyAlignment="1">
      <alignment horizontal="left" wrapText="1"/>
    </xf>
    <xf numFmtId="0" fontId="12" fillId="0" borderId="3" xfId="0" applyFont="1" applyBorder="1" applyAlignment="1">
      <alignment horizontal="left" wrapText="1"/>
    </xf>
    <xf numFmtId="3" fontId="19" fillId="0" borderId="0" xfId="0" applyNumberFormat="1" applyFont="1" applyAlignment="1">
      <alignment horizontal="left" wrapText="1"/>
    </xf>
    <xf numFmtId="0" fontId="9" fillId="0" borderId="0" xfId="0" applyFont="1" applyAlignment="1">
      <alignment wrapText="1"/>
    </xf>
    <xf numFmtId="1" fontId="2" fillId="0" borderId="0" xfId="0" applyNumberFormat="1" applyFont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0" xfId="0" applyFont="1"/>
    <xf numFmtId="14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2" applyNumberFormat="1" applyFont="1" applyBorder="1" applyAlignment="1" applyProtection="1">
      <alignment horizontal="left"/>
    </xf>
    <xf numFmtId="1" fontId="2" fillId="0" borderId="0" xfId="0" applyNumberFormat="1" applyFont="1" applyAlignment="1">
      <alignment horizontal="center"/>
    </xf>
    <xf numFmtId="1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/>
    <xf numFmtId="167" fontId="0" fillId="4" borderId="4" xfId="0" applyNumberFormat="1" applyFill="1" applyBorder="1" applyAlignment="1">
      <alignment horizontal="left"/>
    </xf>
    <xf numFmtId="167" fontId="0" fillId="0" borderId="4" xfId="0" applyNumberFormat="1" applyBorder="1"/>
    <xf numFmtId="0" fontId="20" fillId="0" borderId="10" xfId="0" applyFont="1" applyBorder="1" applyAlignment="1">
      <alignment vertical="center" wrapText="1"/>
    </xf>
    <xf numFmtId="0" fontId="10" fillId="0" borderId="0" xfId="0" applyFont="1" applyAlignment="1">
      <alignment horizontal="left"/>
    </xf>
    <xf numFmtId="3" fontId="10" fillId="0" borderId="1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" fontId="10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" xfId="0" applyFont="1" applyBorder="1"/>
    <xf numFmtId="0" fontId="5" fillId="0" borderId="10" xfId="0" applyFont="1" applyBorder="1"/>
    <xf numFmtId="0" fontId="22" fillId="0" borderId="1" xfId="0" applyFont="1" applyBorder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12" fillId="0" borderId="7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1" fontId="3" fillId="2" borderId="0" xfId="0" applyNumberFormat="1" applyFont="1" applyFill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1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165" fontId="2" fillId="0" borderId="0" xfId="0" applyNumberFormat="1" applyFont="1" applyAlignment="1" applyProtection="1">
      <alignment horizontal="left"/>
      <protection locked="0"/>
    </xf>
    <xf numFmtId="0" fontId="2" fillId="0" borderId="0" xfId="0" applyFont="1"/>
    <xf numFmtId="0" fontId="2" fillId="0" borderId="9" xfId="0" applyFont="1" applyBorder="1"/>
    <xf numFmtId="0" fontId="2" fillId="0" borderId="9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0" fillId="0" borderId="0" xfId="0" quotePrefix="1" applyAlignment="1">
      <alignment horizontal="center"/>
    </xf>
    <xf numFmtId="0" fontId="2" fillId="0" borderId="10" xfId="0" applyFont="1" applyBorder="1"/>
    <xf numFmtId="0" fontId="2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" fontId="10" fillId="0" borderId="1" xfId="0" applyNumberFormat="1" applyFont="1" applyBorder="1" applyAlignment="1">
      <alignment horizontal="center" vertical="center"/>
    </xf>
    <xf numFmtId="0" fontId="0" fillId="0" borderId="11" xfId="0" applyBorder="1"/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wrapText="1"/>
    </xf>
    <xf numFmtId="165" fontId="0" fillId="0" borderId="9" xfId="0" applyNumberFormat="1" applyBorder="1"/>
    <xf numFmtId="165" fontId="0" fillId="0" borderId="1" xfId="0" applyNumberFormat="1" applyBorder="1"/>
    <xf numFmtId="165" fontId="0" fillId="0" borderId="10" xfId="0" applyNumberFormat="1" applyBorder="1"/>
    <xf numFmtId="0" fontId="0" fillId="0" borderId="12" xfId="0" applyBorder="1" applyAlignment="1">
      <alignment horizontal="right"/>
    </xf>
    <xf numFmtId="0" fontId="12" fillId="0" borderId="2" xfId="0" applyFont="1" applyBorder="1" applyAlignment="1">
      <alignment wrapText="1"/>
    </xf>
    <xf numFmtId="0" fontId="12" fillId="0" borderId="0" xfId="0" applyFont="1" applyAlignment="1">
      <alignment wrapText="1"/>
    </xf>
    <xf numFmtId="0" fontId="2" fillId="0" borderId="4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9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1" fillId="0" borderId="1" xfId="0" applyFont="1" applyBorder="1"/>
    <xf numFmtId="0" fontId="19" fillId="0" borderId="9" xfId="0" applyFont="1" applyBorder="1" applyAlignment="1">
      <alignment vertical="center" shrinkToFit="1"/>
    </xf>
    <xf numFmtId="0" fontId="20" fillId="0" borderId="1" xfId="0" applyFont="1" applyBorder="1" applyAlignment="1">
      <alignment shrinkToFit="1"/>
    </xf>
    <xf numFmtId="1" fontId="10" fillId="0" borderId="1" xfId="0" applyNumberFormat="1" applyFont="1" applyBorder="1" applyAlignment="1">
      <alignment horizontal="right"/>
    </xf>
    <xf numFmtId="1" fontId="10" fillId="0" borderId="10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2" fillId="0" borderId="4" xfId="0" applyFont="1" applyBorder="1" applyAlignment="1">
      <alignment vertical="center" wrapText="1"/>
    </xf>
    <xf numFmtId="165" fontId="0" fillId="0" borderId="0" xfId="0" applyNumberFormat="1"/>
    <xf numFmtId="0" fontId="15" fillId="0" borderId="0" xfId="0" quotePrefix="1" applyFont="1" applyAlignment="1">
      <alignment horizont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9" xfId="0" applyFont="1" applyBorder="1" applyAlignment="1">
      <alignment wrapText="1"/>
    </xf>
    <xf numFmtId="0" fontId="21" fillId="0" borderId="1" xfId="0" applyFont="1" applyBorder="1" applyAlignment="1">
      <alignment wrapText="1"/>
    </xf>
    <xf numFmtId="9" fontId="0" fillId="0" borderId="9" xfId="0" applyNumberFormat="1" applyBorder="1"/>
    <xf numFmtId="9" fontId="0" fillId="0" borderId="0" xfId="0" applyNumberFormat="1"/>
    <xf numFmtId="1" fontId="1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8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1" fontId="12" fillId="0" borderId="9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7" fillId="0" borderId="16" xfId="0" applyFont="1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3" fontId="0" fillId="0" borderId="12" xfId="0" applyNumberFormat="1" applyBorder="1" applyAlignment="1">
      <alignment horizontal="center" wrapText="1"/>
    </xf>
  </cellXfs>
  <cellStyles count="4">
    <cellStyle name="Link" xfId="3" builtinId="8"/>
    <cellStyle name="Standard" xfId="0" builtinId="0"/>
    <cellStyle name="Standard_Le-2002-09-Gemeinden" xfId="1"/>
    <cellStyle name="Währung" xfId="2" builtinId="4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indexed="22"/>
        </patternFill>
      </fill>
    </dxf>
    <dxf>
      <fill>
        <patternFill patternType="none">
          <bgColor indexed="65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indexed="65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>
          <bgColor indexed="10"/>
        </patternFill>
      </fill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Drop" dropLines="16" dropStyle="combo" dx="20" fmlaLink="GKAuswahl" fmlaRange="GKListe" sel="1" val="0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Drop" dropLines="22" dropStyle="combo" dx="20" fmlaLink="Dokuaktionauswahl" fmlaRange="AktionlisteGesamt" noThreeD="1" sel="1" val="0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fmlaLink="DOKU_Verk!$A$5" lockText="1" noThreeD="1"/>
</file>

<file path=xl/ctrlProps/ctrlProp17.xml><?xml version="1.0" encoding="utf-8"?>
<formControlPr xmlns="http://schemas.microsoft.com/office/spreadsheetml/2009/9/main" objectType="CheckBox" fmlaLink="DOKU_Verk!$A$6" lockText="1" noThreeD="1"/>
</file>

<file path=xl/ctrlProps/ctrlProp18.xml><?xml version="1.0" encoding="utf-8"?>
<formControlPr xmlns="http://schemas.microsoft.com/office/spreadsheetml/2009/9/main" objectType="CheckBox" fmlaLink="DOKU_Verk!$A$7" lockText="1" noThreeD="1"/>
</file>

<file path=xl/ctrlProps/ctrlProp19.xml><?xml version="1.0" encoding="utf-8"?>
<formControlPr xmlns="http://schemas.microsoft.com/office/spreadsheetml/2009/9/main" objectType="CheckBox" fmlaLink="DOKU_Verk!$C$5" lockText="1" noThreeD="1"/>
</file>

<file path=xl/ctrlProps/ctrlProp20.xml><?xml version="1.0" encoding="utf-8"?>
<formControlPr xmlns="http://schemas.microsoft.com/office/spreadsheetml/2009/9/main" objectType="CheckBox" fmlaLink="DOKU_Verk!$C$6" lockText="1" noThreeD="1"/>
</file>

<file path=xl/ctrlProps/ctrlProp21.xml><?xml version="1.0" encoding="utf-8"?>
<formControlPr xmlns="http://schemas.microsoft.com/office/spreadsheetml/2009/9/main" objectType="CheckBox" fmlaLink="DOKU_Verk!$C$7" lockText="1" noThreeD="1"/>
</file>

<file path=xl/ctrlProps/ctrlProp22.xml><?xml version="1.0" encoding="utf-8"?>
<formControlPr xmlns="http://schemas.microsoft.com/office/spreadsheetml/2009/9/main" objectType="CheckBox" fmlaLink="DOKU_Verk!$E$7" lockText="1" noThreeD="1"/>
</file>

<file path=xl/ctrlProps/ctrlProp23.xml><?xml version="1.0" encoding="utf-8"?>
<formControlPr xmlns="http://schemas.microsoft.com/office/spreadsheetml/2009/9/main" objectType="CheckBox" fmlaLink="DOKU_Verk!$E$5" lockText="1" noThreeD="1"/>
</file>

<file path=xl/ctrlProps/ctrlProp24.xml><?xml version="1.0" encoding="utf-8"?>
<formControlPr xmlns="http://schemas.microsoft.com/office/spreadsheetml/2009/9/main" objectType="CheckBox" fmlaLink="DOKU_Verk!$E$6" lockText="1" noThreeD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Drop" dropLines="5" dropStyle="combo" dx="20" fmlaRange="DOKU_Verk!$D$28:$D$32" noThreeD="1" sel="0" val="0"/>
</file>

<file path=xl/ctrlProps/ctrlProp28.xml><?xml version="1.0" encoding="utf-8"?>
<formControlPr xmlns="http://schemas.microsoft.com/office/spreadsheetml/2009/9/main" objectType="CheckBox" fmlaLink="DOKU_Verk!$G$7" lockText="1" noThreeD="1"/>
</file>

<file path=xl/ctrlProps/ctrlProp29.xml><?xml version="1.0" encoding="utf-8"?>
<formControlPr xmlns="http://schemas.microsoft.com/office/spreadsheetml/2009/9/main" objectType="CheckBox" fmlaLink="DOKU_Verk!$G$5" lockText="1" noThreeD="1"/>
</file>

<file path=xl/ctrlProps/ctrlProp30.xml><?xml version="1.0" encoding="utf-8"?>
<formControlPr xmlns="http://schemas.microsoft.com/office/spreadsheetml/2009/9/main" objectType="CheckBox" fmlaLink="DOKU_Verk!$G$6" lockText="1" noThreeD="1"/>
</file>

<file path=xl/ctrlProps/ctrlProp31.xml><?xml version="1.0" encoding="utf-8"?>
<formControlPr xmlns="http://schemas.microsoft.com/office/spreadsheetml/2009/9/main" objectType="Drop" dropLines="36" dropStyle="combo" dx="20" fmlaLink="Dokufansatzauswahl" fmlaRange="FAnsatz!$Q$2:$Q$23" noThreeD="1" sel="1" val="0"/>
</file>

<file path=xl/ctrlProps/ctrlProp32.xml><?xml version="1.0" encoding="utf-8"?>
<formControlPr xmlns="http://schemas.microsoft.com/office/spreadsheetml/2009/9/main" objectType="CheckBox" fmlaLink="DOKU_Verk!$I$5" lockText="1" noThreeD="1"/>
</file>

<file path=xl/ctrlProps/ctrlProp33.xml><?xml version="1.0" encoding="utf-8"?>
<formControlPr xmlns="http://schemas.microsoft.com/office/spreadsheetml/2009/9/main" objectType="CheckBox" fmlaLink="DOKU_Verk!$I$6" lockText="1" noThreeD="1"/>
</file>

<file path=xl/ctrlProps/ctrlProp34.xml><?xml version="1.0" encoding="utf-8"?>
<formControlPr xmlns="http://schemas.microsoft.com/office/spreadsheetml/2009/9/main" objectType="CheckBox" fmlaLink="DOKU_Verk!$I$7" lockText="1" noThreeD="1"/>
</file>

<file path=xl/ctrlProps/ctrlProp35.xml><?xml version="1.0" encoding="utf-8"?>
<formControlPr xmlns="http://schemas.microsoft.com/office/spreadsheetml/2009/9/main" objectType="CheckBox" fmlaLink="DOKU_Verk!$S$5" lockText="1" noThreeD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Radio" firstButton="1" fmlaLink="Prioauswahl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Radio" firstButton="1" fmlaLink="BewertungBS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Drop" dropLines="3" dropStyle="combo" dx="20" fmlaRange="DOKU_Verk!$D$23:$D$25" sel="0" val="0"/>
</file>

<file path=xl/ctrlProps/ctrlProp53.xml><?xml version="1.0" encoding="utf-8"?>
<formControlPr xmlns="http://schemas.microsoft.com/office/spreadsheetml/2009/9/main" objectType="Drop" dropLines="12" dropStyle="combo" dx="20" fmlaLink="Auswahl!$C$30" fmlaRange="Bedarfbest!$A$1:$A$11" noThreeD="1" sel="1" val="0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6</xdr:row>
      <xdr:rowOff>0</xdr:rowOff>
    </xdr:from>
    <xdr:to>
      <xdr:col>0</xdr:col>
      <xdr:colOff>30480</xdr:colOff>
      <xdr:row>6</xdr:row>
      <xdr:rowOff>160020</xdr:rowOff>
    </xdr:to>
    <xdr:sp macro="" textlink="">
      <xdr:nvSpPr>
        <xdr:cNvPr id="14316" name="Rectangle 360">
          <a:extLst>
            <a:ext uri="{FF2B5EF4-FFF2-40B4-BE49-F238E27FC236}">
              <a16:creationId xmlns:a16="http://schemas.microsoft.com/office/drawing/2014/main" id="{00000000-0008-0000-0000-0000EC370000}"/>
            </a:ext>
          </a:extLst>
        </xdr:cNvPr>
        <xdr:cNvSpPr>
          <a:spLocks noChangeArrowheads="1"/>
        </xdr:cNvSpPr>
      </xdr:nvSpPr>
      <xdr:spPr bwMode="auto">
        <a:xfrm>
          <a:off x="30480" y="115062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209550</xdr:colOff>
      <xdr:row>6</xdr:row>
      <xdr:rowOff>0</xdr:rowOff>
    </xdr:from>
    <xdr:ext cx="35266" cy="162160"/>
    <xdr:sp macro="" textlink="">
      <xdr:nvSpPr>
        <xdr:cNvPr id="2411" name="Rectangle 363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rrowheads="1"/>
        </xdr:cNvSpPr>
      </xdr:nvSpPr>
      <xdr:spPr bwMode="auto">
        <a:xfrm>
          <a:off x="1527810" y="1150620"/>
          <a:ext cx="35266" cy="162160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36</xdr:row>
          <xdr:rowOff>190500</xdr:rowOff>
        </xdr:from>
        <xdr:to>
          <xdr:col>20</xdr:col>
          <xdr:colOff>238125</xdr:colOff>
          <xdr:row>38</xdr:row>
          <xdr:rowOff>0</xdr:rowOff>
        </xdr:to>
        <xdr:sp macro="" textlink="">
          <xdr:nvSpPr>
            <xdr:cNvPr id="2130" name="GeK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25</xdr:row>
          <xdr:rowOff>19050</xdr:rowOff>
        </xdr:from>
        <xdr:to>
          <xdr:col>6</xdr:col>
          <xdr:colOff>28575</xdr:colOff>
          <xdr:row>25</xdr:row>
          <xdr:rowOff>219075</xdr:rowOff>
        </xdr:to>
        <xdr:sp macro="" textlink="">
          <xdr:nvSpPr>
            <xdr:cNvPr id="2458" name="Option Button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0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28575</xdr:rowOff>
        </xdr:from>
        <xdr:to>
          <xdr:col>10</xdr:col>
          <xdr:colOff>114300</xdr:colOff>
          <xdr:row>25</xdr:row>
          <xdr:rowOff>238125</xdr:rowOff>
        </xdr:to>
        <xdr:sp macro="" textlink="">
          <xdr:nvSpPr>
            <xdr:cNvPr id="2459" name="Option Button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0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xdr:twoCellAnchor editAs="oneCell">
    <xdr:from>
      <xdr:col>19</xdr:col>
      <xdr:colOff>28575</xdr:colOff>
      <xdr:row>0</xdr:row>
      <xdr:rowOff>104775</xdr:rowOff>
    </xdr:from>
    <xdr:to>
      <xdr:col>27</xdr:col>
      <xdr:colOff>34464</xdr:colOff>
      <xdr:row>5</xdr:row>
      <xdr:rowOff>78574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104775"/>
          <a:ext cx="2011854" cy="10120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134938</xdr:colOff>
          <xdr:row>40</xdr:row>
          <xdr:rowOff>52387</xdr:rowOff>
        </xdr:from>
        <xdr:to>
          <xdr:col>4</xdr:col>
          <xdr:colOff>87312</xdr:colOff>
          <xdr:row>40</xdr:row>
          <xdr:rowOff>271462</xdr:rowOff>
        </xdr:to>
        <xdr:sp macro="" textlink="">
          <xdr:nvSpPr>
            <xdr:cNvPr id="14328" name="Check Box 2040" hidden="1">
              <a:extLst>
                <a:ext uri="{63B3BB69-23CF-44E3-9099-C40C66FF867C}">
                  <a14:compatExt spid="_x0000_s14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Digi-Scout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7938</xdr:colOff>
          <xdr:row>40</xdr:row>
          <xdr:rowOff>53975</xdr:rowOff>
        </xdr:from>
        <xdr:to>
          <xdr:col>9</xdr:col>
          <xdr:colOff>200025</xdr:colOff>
          <xdr:row>40</xdr:row>
          <xdr:rowOff>276225</xdr:rowOff>
        </xdr:to>
        <xdr:sp macro="" textlink="">
          <xdr:nvSpPr>
            <xdr:cNvPr id="14329" name="Check Box 2041" hidden="1">
              <a:extLst>
                <a:ext uri="{63B3BB69-23CF-44E3-9099-C40C66FF867C}">
                  <a14:compatExt spid="_x0000_s14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Von Hand zu Hand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39688</xdr:colOff>
          <xdr:row>40</xdr:row>
          <xdr:rowOff>49213</xdr:rowOff>
        </xdr:from>
        <xdr:to>
          <xdr:col>17</xdr:col>
          <xdr:colOff>96838</xdr:colOff>
          <xdr:row>40</xdr:row>
          <xdr:rowOff>271463</xdr:rowOff>
        </xdr:to>
        <xdr:sp macro="" textlink="">
          <xdr:nvSpPr>
            <xdr:cNvPr id="14330" name="Check Box 2042" hidden="1">
              <a:extLst>
                <a:ext uri="{63B3BB69-23CF-44E3-9099-C40C66FF867C}">
                  <a14:compatExt spid="_x0000_s14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Projekte für Zielgruppe ab 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22224</xdr:colOff>
          <xdr:row>34</xdr:row>
          <xdr:rowOff>60325</xdr:rowOff>
        </xdr:from>
        <xdr:to>
          <xdr:col>15</xdr:col>
          <xdr:colOff>23812</xdr:colOff>
          <xdr:row>35</xdr:row>
          <xdr:rowOff>69850</xdr:rowOff>
        </xdr:to>
        <xdr:sp macro="" textlink="">
          <xdr:nvSpPr>
            <xdr:cNvPr id="14331" name="Check Box 2043" hidden="1">
              <a:extLst>
                <a:ext uri="{63B3BB69-23CF-44E3-9099-C40C66FF867C}">
                  <a14:compatExt spid="_x0000_s14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 erstmalige Durchführung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90488</xdr:colOff>
          <xdr:row>34</xdr:row>
          <xdr:rowOff>60325</xdr:rowOff>
        </xdr:from>
        <xdr:to>
          <xdr:col>20</xdr:col>
          <xdr:colOff>241301</xdr:colOff>
          <xdr:row>35</xdr:row>
          <xdr:rowOff>69850</xdr:rowOff>
        </xdr:to>
        <xdr:sp macro="" textlink="">
          <xdr:nvSpPr>
            <xdr:cNvPr id="14332" name="Check Box 2044" hidden="1">
              <a:extLst>
                <a:ext uri="{63B3BB69-23CF-44E3-9099-C40C66FF867C}">
                  <a14:compatExt spid="_x0000_s14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wd wiederholte Durchführung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188913</xdr:colOff>
          <xdr:row>43</xdr:row>
          <xdr:rowOff>217487</xdr:rowOff>
        </xdr:from>
        <xdr:to>
          <xdr:col>14</xdr:col>
          <xdr:colOff>19051</xdr:colOff>
          <xdr:row>44</xdr:row>
          <xdr:rowOff>184149</xdr:rowOff>
        </xdr:to>
        <xdr:sp macro="" textlink="">
          <xdr:nvSpPr>
            <xdr:cNvPr id="14333" name="Check Box 2045" hidden="1">
              <a:extLst>
                <a:ext uri="{63B3BB69-23CF-44E3-9099-C40C66FF867C}">
                  <a14:compatExt spid="_x0000_s14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92075</xdr:colOff>
          <xdr:row>43</xdr:row>
          <xdr:rowOff>217487</xdr:rowOff>
        </xdr:from>
        <xdr:to>
          <xdr:col>20</xdr:col>
          <xdr:colOff>25400</xdr:colOff>
          <xdr:row>44</xdr:row>
          <xdr:rowOff>184149</xdr:rowOff>
        </xdr:to>
        <xdr:sp macro="" textlink="">
          <xdr:nvSpPr>
            <xdr:cNvPr id="14334" name="Check Box 2046" hidden="1">
              <a:extLst>
                <a:ext uri="{63B3BB69-23CF-44E3-9099-C40C66FF867C}">
                  <a14:compatExt spid="_x0000_s14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20</xdr:row>
          <xdr:rowOff>161925</xdr:rowOff>
        </xdr:from>
        <xdr:to>
          <xdr:col>8</xdr:col>
          <xdr:colOff>285750</xdr:colOff>
          <xdr:row>22</xdr:row>
          <xdr:rowOff>47625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20</xdr:row>
          <xdr:rowOff>142875</xdr:rowOff>
        </xdr:from>
        <xdr:to>
          <xdr:col>13</xdr:col>
          <xdr:colOff>57150</xdr:colOff>
          <xdr:row>22</xdr:row>
          <xdr:rowOff>66675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9525</xdr:rowOff>
        </xdr:from>
        <xdr:to>
          <xdr:col>30</xdr:col>
          <xdr:colOff>171450</xdr:colOff>
          <xdr:row>22</xdr:row>
          <xdr:rowOff>219075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16</xdr:row>
          <xdr:rowOff>133350</xdr:rowOff>
        </xdr:from>
        <xdr:to>
          <xdr:col>6</xdr:col>
          <xdr:colOff>28575</xdr:colOff>
          <xdr:row>17</xdr:row>
          <xdr:rowOff>190500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142875</xdr:rowOff>
        </xdr:from>
        <xdr:to>
          <xdr:col>9</xdr:col>
          <xdr:colOff>9525</xdr:colOff>
          <xdr:row>17</xdr:row>
          <xdr:rowOff>209550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50</xdr:row>
          <xdr:rowOff>76200</xdr:rowOff>
        </xdr:from>
        <xdr:to>
          <xdr:col>13</xdr:col>
          <xdr:colOff>19050</xdr:colOff>
          <xdr:row>50</xdr:row>
          <xdr:rowOff>295275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50</xdr:row>
          <xdr:rowOff>85725</xdr:rowOff>
        </xdr:from>
        <xdr:to>
          <xdr:col>16</xdr:col>
          <xdr:colOff>19050</xdr:colOff>
          <xdr:row>50</xdr:row>
          <xdr:rowOff>304800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50</xdr:row>
          <xdr:rowOff>85725</xdr:rowOff>
        </xdr:from>
        <xdr:to>
          <xdr:col>19</xdr:col>
          <xdr:colOff>9525</xdr:colOff>
          <xdr:row>50</xdr:row>
          <xdr:rowOff>304800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51</xdr:row>
          <xdr:rowOff>85725</xdr:rowOff>
        </xdr:from>
        <xdr:to>
          <xdr:col>13</xdr:col>
          <xdr:colOff>19050</xdr:colOff>
          <xdr:row>51</xdr:row>
          <xdr:rowOff>304800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51</xdr:row>
          <xdr:rowOff>85725</xdr:rowOff>
        </xdr:from>
        <xdr:to>
          <xdr:col>16</xdr:col>
          <xdr:colOff>19050</xdr:colOff>
          <xdr:row>51</xdr:row>
          <xdr:rowOff>304800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51</xdr:row>
          <xdr:rowOff>85725</xdr:rowOff>
        </xdr:from>
        <xdr:to>
          <xdr:col>19</xdr:col>
          <xdr:colOff>9525</xdr:colOff>
          <xdr:row>51</xdr:row>
          <xdr:rowOff>304800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52</xdr:row>
          <xdr:rowOff>38100</xdr:rowOff>
        </xdr:from>
        <xdr:to>
          <xdr:col>19</xdr:col>
          <xdr:colOff>19050</xdr:colOff>
          <xdr:row>52</xdr:row>
          <xdr:rowOff>257175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52</xdr:row>
          <xdr:rowOff>38100</xdr:rowOff>
        </xdr:from>
        <xdr:to>
          <xdr:col>13</xdr:col>
          <xdr:colOff>19050</xdr:colOff>
          <xdr:row>52</xdr:row>
          <xdr:rowOff>257175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3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52</xdr:row>
          <xdr:rowOff>38100</xdr:rowOff>
        </xdr:from>
        <xdr:to>
          <xdr:col>16</xdr:col>
          <xdr:colOff>19050</xdr:colOff>
          <xdr:row>52</xdr:row>
          <xdr:rowOff>257175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3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24</xdr:row>
          <xdr:rowOff>28575</xdr:rowOff>
        </xdr:from>
        <xdr:to>
          <xdr:col>8</xdr:col>
          <xdr:colOff>285750</xdr:colOff>
          <xdr:row>25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3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24</xdr:row>
          <xdr:rowOff>28575</xdr:rowOff>
        </xdr:from>
        <xdr:to>
          <xdr:col>13</xdr:col>
          <xdr:colOff>104775</xdr:colOff>
          <xdr:row>25</xdr:row>
          <xdr:rowOff>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3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24</xdr:row>
          <xdr:rowOff>9525</xdr:rowOff>
        </xdr:from>
        <xdr:to>
          <xdr:col>30</xdr:col>
          <xdr:colOff>171450</xdr:colOff>
          <xdr:row>24</xdr:row>
          <xdr:rowOff>209550</xdr:rowOff>
        </xdr:to>
        <xdr:sp macro="" textlink="">
          <xdr:nvSpPr>
            <xdr:cNvPr id="4147" name="Drop Dow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3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53</xdr:row>
          <xdr:rowOff>38100</xdr:rowOff>
        </xdr:from>
        <xdr:to>
          <xdr:col>19</xdr:col>
          <xdr:colOff>9525</xdr:colOff>
          <xdr:row>53</xdr:row>
          <xdr:rowOff>352425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3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53</xdr:row>
          <xdr:rowOff>47625</xdr:rowOff>
        </xdr:from>
        <xdr:to>
          <xdr:col>13</xdr:col>
          <xdr:colOff>19050</xdr:colOff>
          <xdr:row>53</xdr:row>
          <xdr:rowOff>323850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3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53</xdr:row>
          <xdr:rowOff>47625</xdr:rowOff>
        </xdr:from>
        <xdr:to>
          <xdr:col>16</xdr:col>
          <xdr:colOff>19050</xdr:colOff>
          <xdr:row>53</xdr:row>
          <xdr:rowOff>323850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3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19050</xdr:rowOff>
        </xdr:from>
        <xdr:to>
          <xdr:col>30</xdr:col>
          <xdr:colOff>171450</xdr:colOff>
          <xdr:row>23</xdr:row>
          <xdr:rowOff>228600</xdr:rowOff>
        </xdr:to>
        <xdr:sp macro="" textlink="">
          <xdr:nvSpPr>
            <xdr:cNvPr id="4192" name="Drop Down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3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54</xdr:row>
          <xdr:rowOff>47625</xdr:rowOff>
        </xdr:from>
        <xdr:to>
          <xdr:col>13</xdr:col>
          <xdr:colOff>19050</xdr:colOff>
          <xdr:row>54</xdr:row>
          <xdr:rowOff>266700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3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54</xdr:row>
          <xdr:rowOff>47625</xdr:rowOff>
        </xdr:from>
        <xdr:to>
          <xdr:col>16</xdr:col>
          <xdr:colOff>19050</xdr:colOff>
          <xdr:row>54</xdr:row>
          <xdr:rowOff>266700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3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54</xdr:row>
          <xdr:rowOff>47625</xdr:rowOff>
        </xdr:from>
        <xdr:to>
          <xdr:col>19</xdr:col>
          <xdr:colOff>9525</xdr:colOff>
          <xdr:row>54</xdr:row>
          <xdr:rowOff>266700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3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56</xdr:row>
          <xdr:rowOff>0</xdr:rowOff>
        </xdr:from>
        <xdr:to>
          <xdr:col>13</xdr:col>
          <xdr:colOff>19050</xdr:colOff>
          <xdr:row>56</xdr:row>
          <xdr:rowOff>219075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3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26</xdr:row>
          <xdr:rowOff>38100</xdr:rowOff>
        </xdr:from>
        <xdr:to>
          <xdr:col>14</xdr:col>
          <xdr:colOff>152400</xdr:colOff>
          <xdr:row>26</xdr:row>
          <xdr:rowOff>257175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3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26</xdr:row>
          <xdr:rowOff>28575</xdr:rowOff>
        </xdr:from>
        <xdr:to>
          <xdr:col>17</xdr:col>
          <xdr:colOff>47625</xdr:colOff>
          <xdr:row>26</xdr:row>
          <xdr:rowOff>257175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3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26</xdr:row>
          <xdr:rowOff>38100</xdr:rowOff>
        </xdr:from>
        <xdr:to>
          <xdr:col>19</xdr:col>
          <xdr:colOff>123825</xdr:colOff>
          <xdr:row>26</xdr:row>
          <xdr:rowOff>257175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3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28</xdr:row>
          <xdr:rowOff>28575</xdr:rowOff>
        </xdr:from>
        <xdr:to>
          <xdr:col>14</xdr:col>
          <xdr:colOff>152400</xdr:colOff>
          <xdr:row>29</xdr:row>
          <xdr:rowOff>19050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3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28</xdr:row>
          <xdr:rowOff>28575</xdr:rowOff>
        </xdr:from>
        <xdr:to>
          <xdr:col>17</xdr:col>
          <xdr:colOff>66675</xdr:colOff>
          <xdr:row>29</xdr:row>
          <xdr:rowOff>19050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3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28</xdr:row>
          <xdr:rowOff>28575</xdr:rowOff>
        </xdr:from>
        <xdr:to>
          <xdr:col>19</xdr:col>
          <xdr:colOff>133350</xdr:colOff>
          <xdr:row>29</xdr:row>
          <xdr:rowOff>19050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3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36</xdr:row>
          <xdr:rowOff>180975</xdr:rowOff>
        </xdr:from>
        <xdr:to>
          <xdr:col>19</xdr:col>
          <xdr:colOff>57150</xdr:colOff>
          <xdr:row>38</xdr:row>
          <xdr:rowOff>28575</xdr:rowOff>
        </xdr:to>
        <xdr:sp macro="" textlink="">
          <xdr:nvSpPr>
            <xdr:cNvPr id="4227" name="Option Button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3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37</xdr:row>
          <xdr:rowOff>9525</xdr:rowOff>
        </xdr:from>
        <xdr:to>
          <xdr:col>28</xdr:col>
          <xdr:colOff>38100</xdr:colOff>
          <xdr:row>38</xdr:row>
          <xdr:rowOff>0</xdr:rowOff>
        </xdr:to>
        <xdr:sp macro="" textlink="">
          <xdr:nvSpPr>
            <xdr:cNvPr id="4228" name="Option Button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3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negativ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29</xdr:row>
          <xdr:rowOff>47625</xdr:rowOff>
        </xdr:from>
        <xdr:to>
          <xdr:col>14</xdr:col>
          <xdr:colOff>142875</xdr:colOff>
          <xdr:row>29</xdr:row>
          <xdr:rowOff>276225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3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29</xdr:row>
          <xdr:rowOff>28575</xdr:rowOff>
        </xdr:from>
        <xdr:to>
          <xdr:col>17</xdr:col>
          <xdr:colOff>76200</xdr:colOff>
          <xdr:row>29</xdr:row>
          <xdr:rowOff>257175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3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29</xdr:row>
          <xdr:rowOff>28575</xdr:rowOff>
        </xdr:from>
        <xdr:to>
          <xdr:col>19</xdr:col>
          <xdr:colOff>142875</xdr:colOff>
          <xdr:row>29</xdr:row>
          <xdr:rowOff>257175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3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41</xdr:row>
          <xdr:rowOff>19050</xdr:rowOff>
        </xdr:from>
        <xdr:to>
          <xdr:col>27</xdr:col>
          <xdr:colOff>9525</xdr:colOff>
          <xdr:row>41</xdr:row>
          <xdr:rowOff>238125</xdr:rowOff>
        </xdr:to>
        <xdr:sp macro="" textlink="">
          <xdr:nvSpPr>
            <xdr:cNvPr id="4242" name="Option Button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3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negativ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41</xdr:row>
          <xdr:rowOff>19050</xdr:rowOff>
        </xdr:from>
        <xdr:to>
          <xdr:col>22</xdr:col>
          <xdr:colOff>295275</xdr:colOff>
          <xdr:row>41</xdr:row>
          <xdr:rowOff>238125</xdr:rowOff>
        </xdr:to>
        <xdr:sp macro="" textlink="">
          <xdr:nvSpPr>
            <xdr:cNvPr id="4243" name="Option Button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3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9525</xdr:rowOff>
        </xdr:from>
        <xdr:to>
          <xdr:col>31</xdr:col>
          <xdr:colOff>104775</xdr:colOff>
          <xdr:row>59</xdr:row>
          <xdr:rowOff>381000</xdr:rowOff>
        </xdr:to>
        <xdr:sp macro="" textlink="">
          <xdr:nvSpPr>
            <xdr:cNvPr id="4244" name="Group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3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59</xdr:row>
          <xdr:rowOff>95250</xdr:rowOff>
        </xdr:from>
        <xdr:to>
          <xdr:col>30</xdr:col>
          <xdr:colOff>152400</xdr:colOff>
          <xdr:row>59</xdr:row>
          <xdr:rowOff>304800</xdr:rowOff>
        </xdr:to>
        <xdr:sp macro="" textlink="">
          <xdr:nvSpPr>
            <xdr:cNvPr id="4245" name="Option Button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3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59</xdr:row>
          <xdr:rowOff>85725</xdr:rowOff>
        </xdr:from>
        <xdr:to>
          <xdr:col>22</xdr:col>
          <xdr:colOff>200025</xdr:colOff>
          <xdr:row>59</xdr:row>
          <xdr:rowOff>304800</xdr:rowOff>
        </xdr:to>
        <xdr:sp macro="" textlink="">
          <xdr:nvSpPr>
            <xdr:cNvPr id="4246" name="Option Button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3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32</xdr:row>
          <xdr:rowOff>0</xdr:rowOff>
        </xdr:from>
        <xdr:to>
          <xdr:col>8</xdr:col>
          <xdr:colOff>285750</xdr:colOff>
          <xdr:row>32</xdr:row>
          <xdr:rowOff>209550</xdr:rowOff>
        </xdr:to>
        <xdr:sp macro="" textlink="">
          <xdr:nvSpPr>
            <xdr:cNvPr id="4247" name="Drop Down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3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31</xdr:row>
          <xdr:rowOff>57150</xdr:rowOff>
        </xdr:from>
        <xdr:to>
          <xdr:col>18</xdr:col>
          <xdr:colOff>142875</xdr:colOff>
          <xdr:row>31</xdr:row>
          <xdr:rowOff>238125</xdr:rowOff>
        </xdr:to>
        <xdr:sp macro="" textlink="">
          <xdr:nvSpPr>
            <xdr:cNvPr id="4248" name="Drop Down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3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30</xdr:row>
          <xdr:rowOff>47625</xdr:rowOff>
        </xdr:from>
        <xdr:to>
          <xdr:col>29</xdr:col>
          <xdr:colOff>0</xdr:colOff>
          <xdr:row>30</xdr:row>
          <xdr:rowOff>266700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3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</xdr:row>
          <xdr:rowOff>161925</xdr:rowOff>
        </xdr:from>
        <xdr:to>
          <xdr:col>1</xdr:col>
          <xdr:colOff>123825</xdr:colOff>
          <xdr:row>79</xdr:row>
          <xdr:rowOff>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3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0</xdr:rowOff>
        </xdr:from>
        <xdr:to>
          <xdr:col>1</xdr:col>
          <xdr:colOff>123825</xdr:colOff>
          <xdr:row>81</xdr:row>
          <xdr:rowOff>9525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3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200025</xdr:rowOff>
        </xdr:from>
        <xdr:to>
          <xdr:col>1</xdr:col>
          <xdr:colOff>123825</xdr:colOff>
          <xdr:row>84</xdr:row>
          <xdr:rowOff>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3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79</xdr:row>
          <xdr:rowOff>0</xdr:rowOff>
        </xdr:from>
        <xdr:to>
          <xdr:col>1</xdr:col>
          <xdr:colOff>123825</xdr:colOff>
          <xdr:row>80</xdr:row>
          <xdr:rowOff>9525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3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200025</xdr:rowOff>
        </xdr:from>
        <xdr:to>
          <xdr:col>1</xdr:col>
          <xdr:colOff>123825</xdr:colOff>
          <xdr:row>82</xdr:row>
          <xdr:rowOff>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3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0</xdr:rowOff>
        </xdr:from>
        <xdr:to>
          <xdr:col>1</xdr:col>
          <xdr:colOff>123825</xdr:colOff>
          <xdr:row>83</xdr:row>
          <xdr:rowOff>9525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3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85</xdr:row>
          <xdr:rowOff>19050</xdr:rowOff>
        </xdr:from>
        <xdr:to>
          <xdr:col>1</xdr:col>
          <xdr:colOff>123825</xdr:colOff>
          <xdr:row>87</xdr:row>
          <xdr:rowOff>28575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3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</xdr:col>
          <xdr:colOff>123825</xdr:colOff>
          <xdr:row>85</xdr:row>
          <xdr:rowOff>9525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3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190500</xdr:rowOff>
        </xdr:from>
        <xdr:to>
          <xdr:col>11</xdr:col>
          <xdr:colOff>95250</xdr:colOff>
          <xdr:row>80</xdr:row>
          <xdr:rowOff>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3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79</xdr:row>
          <xdr:rowOff>200025</xdr:rowOff>
        </xdr:from>
        <xdr:to>
          <xdr:col>11</xdr:col>
          <xdr:colOff>123825</xdr:colOff>
          <xdr:row>81</xdr:row>
          <xdr:rowOff>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3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81</xdr:row>
          <xdr:rowOff>200025</xdr:rowOff>
        </xdr:from>
        <xdr:to>
          <xdr:col>11</xdr:col>
          <xdr:colOff>123825</xdr:colOff>
          <xdr:row>83</xdr:row>
          <xdr:rowOff>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3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82</xdr:row>
          <xdr:rowOff>200025</xdr:rowOff>
        </xdr:from>
        <xdr:to>
          <xdr:col>11</xdr:col>
          <xdr:colOff>123825</xdr:colOff>
          <xdr:row>84</xdr:row>
          <xdr:rowOff>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3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83</xdr:row>
          <xdr:rowOff>200025</xdr:rowOff>
        </xdr:from>
        <xdr:to>
          <xdr:col>11</xdr:col>
          <xdr:colOff>123825</xdr:colOff>
          <xdr:row>85</xdr:row>
          <xdr:rowOff>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3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84</xdr:row>
          <xdr:rowOff>200025</xdr:rowOff>
        </xdr:from>
        <xdr:to>
          <xdr:col>11</xdr:col>
          <xdr:colOff>123825</xdr:colOff>
          <xdr:row>86</xdr:row>
          <xdr:rowOff>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3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85</xdr:row>
          <xdr:rowOff>200025</xdr:rowOff>
        </xdr:from>
        <xdr:to>
          <xdr:col>11</xdr:col>
          <xdr:colOff>123825</xdr:colOff>
          <xdr:row>88</xdr:row>
          <xdr:rowOff>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3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9525</xdr:rowOff>
        </xdr:from>
        <xdr:to>
          <xdr:col>11</xdr:col>
          <xdr:colOff>142875</xdr:colOff>
          <xdr:row>79</xdr:row>
          <xdr:rowOff>19050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3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78</xdr:row>
          <xdr:rowOff>190500</xdr:rowOff>
        </xdr:from>
        <xdr:to>
          <xdr:col>23</xdr:col>
          <xdr:colOff>104775</xdr:colOff>
          <xdr:row>79</xdr:row>
          <xdr:rowOff>200025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3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80</xdr:row>
          <xdr:rowOff>0</xdr:rowOff>
        </xdr:from>
        <xdr:to>
          <xdr:col>23</xdr:col>
          <xdr:colOff>104775</xdr:colOff>
          <xdr:row>81</xdr:row>
          <xdr:rowOff>9525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3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82</xdr:row>
          <xdr:rowOff>0</xdr:rowOff>
        </xdr:from>
        <xdr:to>
          <xdr:col>23</xdr:col>
          <xdr:colOff>104775</xdr:colOff>
          <xdr:row>83</xdr:row>
          <xdr:rowOff>9525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3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82</xdr:row>
          <xdr:rowOff>200025</xdr:rowOff>
        </xdr:from>
        <xdr:to>
          <xdr:col>23</xdr:col>
          <xdr:colOff>104775</xdr:colOff>
          <xdr:row>84</xdr:row>
          <xdr:rowOff>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3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83</xdr:row>
          <xdr:rowOff>200025</xdr:rowOff>
        </xdr:from>
        <xdr:to>
          <xdr:col>23</xdr:col>
          <xdr:colOff>104775</xdr:colOff>
          <xdr:row>85</xdr:row>
          <xdr:rowOff>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3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84</xdr:row>
          <xdr:rowOff>190500</xdr:rowOff>
        </xdr:from>
        <xdr:to>
          <xdr:col>23</xdr:col>
          <xdr:colOff>104775</xdr:colOff>
          <xdr:row>85</xdr:row>
          <xdr:rowOff>200025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3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85</xdr:row>
          <xdr:rowOff>200025</xdr:rowOff>
        </xdr:from>
        <xdr:to>
          <xdr:col>23</xdr:col>
          <xdr:colOff>104775</xdr:colOff>
          <xdr:row>88</xdr:row>
          <xdr:rowOff>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3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37</xdr:row>
          <xdr:rowOff>38100</xdr:rowOff>
        </xdr:from>
        <xdr:to>
          <xdr:col>24</xdr:col>
          <xdr:colOff>19050</xdr:colOff>
          <xdr:row>37</xdr:row>
          <xdr:rowOff>209550</xdr:rowOff>
        </xdr:to>
        <xdr:sp macro="" textlink="">
          <xdr:nvSpPr>
            <xdr:cNvPr id="4310" name="Option Button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3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 unter Vorbehalt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59</xdr:row>
          <xdr:rowOff>85725</xdr:rowOff>
        </xdr:from>
        <xdr:to>
          <xdr:col>27</xdr:col>
          <xdr:colOff>95250</xdr:colOff>
          <xdr:row>59</xdr:row>
          <xdr:rowOff>304800</xdr:rowOff>
        </xdr:to>
        <xdr:sp macro="" textlink="">
          <xdr:nvSpPr>
            <xdr:cNvPr id="4311" name="Option Button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3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unter Vorbehalt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16</xdr:row>
          <xdr:rowOff>123825</xdr:rowOff>
        </xdr:from>
        <xdr:to>
          <xdr:col>32</xdr:col>
          <xdr:colOff>28575</xdr:colOff>
          <xdr:row>17</xdr:row>
          <xdr:rowOff>190500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3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16</xdr:row>
          <xdr:rowOff>114300</xdr:rowOff>
        </xdr:from>
        <xdr:to>
          <xdr:col>27</xdr:col>
          <xdr:colOff>114300</xdr:colOff>
          <xdr:row>17</xdr:row>
          <xdr:rowOff>180975</xdr:rowOff>
        </xdr:to>
        <xdr:sp macro="" textlink="">
          <xdr:nvSpPr>
            <xdr:cNvPr id="4317" name="Check Box 221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3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86</xdr:row>
          <xdr:rowOff>0</xdr:rowOff>
        </xdr:from>
        <xdr:to>
          <xdr:col>1</xdr:col>
          <xdr:colOff>123825</xdr:colOff>
          <xdr:row>88</xdr:row>
          <xdr:rowOff>9525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3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80</xdr:row>
          <xdr:rowOff>190500</xdr:rowOff>
        </xdr:from>
        <xdr:to>
          <xdr:col>23</xdr:col>
          <xdr:colOff>104775</xdr:colOff>
          <xdr:row>81</xdr:row>
          <xdr:rowOff>200025</xdr:rowOff>
        </xdr:to>
        <xdr:sp macro="" textlink="">
          <xdr:nvSpPr>
            <xdr:cNvPr id="4320" name="Check Box 224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3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80</xdr:row>
          <xdr:rowOff>200025</xdr:rowOff>
        </xdr:from>
        <xdr:to>
          <xdr:col>11</xdr:col>
          <xdr:colOff>114300</xdr:colOff>
          <xdr:row>82</xdr:row>
          <xdr:rowOff>0</xdr:rowOff>
        </xdr:to>
        <xdr:sp macro="" textlink="">
          <xdr:nvSpPr>
            <xdr:cNvPr id="4321" name="Check Box 225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3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78</xdr:row>
          <xdr:rowOff>0</xdr:rowOff>
        </xdr:from>
        <xdr:to>
          <xdr:col>23</xdr:col>
          <xdr:colOff>104775</xdr:colOff>
          <xdr:row>79</xdr:row>
          <xdr:rowOff>9525</xdr:rowOff>
        </xdr:to>
        <xdr:sp macro="" textlink="">
          <xdr:nvSpPr>
            <xdr:cNvPr id="4322" name="Check Box 226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3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27</xdr:row>
          <xdr:rowOff>38100</xdr:rowOff>
        </xdr:from>
        <xdr:to>
          <xdr:col>14</xdr:col>
          <xdr:colOff>152400</xdr:colOff>
          <xdr:row>28</xdr:row>
          <xdr:rowOff>19050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3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27</xdr:row>
          <xdr:rowOff>28575</xdr:rowOff>
        </xdr:from>
        <xdr:to>
          <xdr:col>17</xdr:col>
          <xdr:colOff>47625</xdr:colOff>
          <xdr:row>28</xdr:row>
          <xdr:rowOff>19050</xdr:rowOff>
        </xdr:to>
        <xdr:sp macro="" textlink="">
          <xdr:nvSpPr>
            <xdr:cNvPr id="4324" name="Check Box 228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3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38100</xdr:rowOff>
        </xdr:from>
        <xdr:to>
          <xdr:col>19</xdr:col>
          <xdr:colOff>123825</xdr:colOff>
          <xdr:row>28</xdr:row>
          <xdr:rowOff>19050</xdr:rowOff>
        </xdr:to>
        <xdr:sp macro="" textlink="">
          <xdr:nvSpPr>
            <xdr:cNvPr id="4325" name="Check Box 229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3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82</xdr:row>
          <xdr:rowOff>200025</xdr:rowOff>
        </xdr:from>
        <xdr:to>
          <xdr:col>23</xdr:col>
          <xdr:colOff>104775</xdr:colOff>
          <xdr:row>84</xdr:row>
          <xdr:rowOff>0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3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38</xdr:row>
          <xdr:rowOff>0</xdr:rowOff>
        </xdr:from>
        <xdr:to>
          <xdr:col>14</xdr:col>
          <xdr:colOff>133350</xdr:colOff>
          <xdr:row>38</xdr:row>
          <xdr:rowOff>219075</xdr:rowOff>
        </xdr:to>
        <xdr:sp macro="" textlink="">
          <xdr:nvSpPr>
            <xdr:cNvPr id="4336" name="Check Box 240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3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6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6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8.xml"/><Relationship Id="rId18" Type="http://schemas.openxmlformats.org/officeDocument/2006/relationships/ctrlProp" Target="../ctrlProps/ctrlProp23.xml"/><Relationship Id="rId26" Type="http://schemas.openxmlformats.org/officeDocument/2006/relationships/ctrlProp" Target="../ctrlProps/ctrlProp31.xml"/><Relationship Id="rId39" Type="http://schemas.openxmlformats.org/officeDocument/2006/relationships/ctrlProp" Target="../ctrlProps/ctrlProp44.xml"/><Relationship Id="rId21" Type="http://schemas.openxmlformats.org/officeDocument/2006/relationships/ctrlProp" Target="../ctrlProps/ctrlProp26.xml"/><Relationship Id="rId34" Type="http://schemas.openxmlformats.org/officeDocument/2006/relationships/ctrlProp" Target="../ctrlProps/ctrlProp39.xml"/><Relationship Id="rId42" Type="http://schemas.openxmlformats.org/officeDocument/2006/relationships/ctrlProp" Target="../ctrlProps/ctrlProp47.xml"/><Relationship Id="rId47" Type="http://schemas.openxmlformats.org/officeDocument/2006/relationships/ctrlProp" Target="../ctrlProps/ctrlProp52.xml"/><Relationship Id="rId50" Type="http://schemas.openxmlformats.org/officeDocument/2006/relationships/ctrlProp" Target="../ctrlProps/ctrlProp55.xml"/><Relationship Id="rId55" Type="http://schemas.openxmlformats.org/officeDocument/2006/relationships/ctrlProp" Target="../ctrlProps/ctrlProp60.xml"/><Relationship Id="rId63" Type="http://schemas.openxmlformats.org/officeDocument/2006/relationships/ctrlProp" Target="../ctrlProps/ctrlProp68.xml"/><Relationship Id="rId68" Type="http://schemas.openxmlformats.org/officeDocument/2006/relationships/ctrlProp" Target="../ctrlProps/ctrlProp73.xml"/><Relationship Id="rId76" Type="http://schemas.openxmlformats.org/officeDocument/2006/relationships/ctrlProp" Target="../ctrlProps/ctrlProp81.xml"/><Relationship Id="rId84" Type="http://schemas.openxmlformats.org/officeDocument/2006/relationships/ctrlProp" Target="../ctrlProps/ctrlProp89.xml"/><Relationship Id="rId7" Type="http://schemas.openxmlformats.org/officeDocument/2006/relationships/ctrlProp" Target="../ctrlProps/ctrlProp12.xml"/><Relationship Id="rId71" Type="http://schemas.openxmlformats.org/officeDocument/2006/relationships/ctrlProp" Target="../ctrlProps/ctrlProp76.xml"/><Relationship Id="rId2" Type="http://schemas.openxmlformats.org/officeDocument/2006/relationships/printerSettings" Target="../printerSettings/printerSettings5.bin"/><Relationship Id="rId16" Type="http://schemas.openxmlformats.org/officeDocument/2006/relationships/ctrlProp" Target="../ctrlProps/ctrlProp21.xml"/><Relationship Id="rId29" Type="http://schemas.openxmlformats.org/officeDocument/2006/relationships/ctrlProp" Target="../ctrlProps/ctrlProp34.xml"/><Relationship Id="rId11" Type="http://schemas.openxmlformats.org/officeDocument/2006/relationships/ctrlProp" Target="../ctrlProps/ctrlProp16.xml"/><Relationship Id="rId24" Type="http://schemas.openxmlformats.org/officeDocument/2006/relationships/ctrlProp" Target="../ctrlProps/ctrlProp29.xml"/><Relationship Id="rId32" Type="http://schemas.openxmlformats.org/officeDocument/2006/relationships/ctrlProp" Target="../ctrlProps/ctrlProp37.xml"/><Relationship Id="rId37" Type="http://schemas.openxmlformats.org/officeDocument/2006/relationships/ctrlProp" Target="../ctrlProps/ctrlProp42.xml"/><Relationship Id="rId40" Type="http://schemas.openxmlformats.org/officeDocument/2006/relationships/ctrlProp" Target="../ctrlProps/ctrlProp45.xml"/><Relationship Id="rId45" Type="http://schemas.openxmlformats.org/officeDocument/2006/relationships/ctrlProp" Target="../ctrlProps/ctrlProp50.xml"/><Relationship Id="rId53" Type="http://schemas.openxmlformats.org/officeDocument/2006/relationships/ctrlProp" Target="../ctrlProps/ctrlProp58.xml"/><Relationship Id="rId58" Type="http://schemas.openxmlformats.org/officeDocument/2006/relationships/ctrlProp" Target="../ctrlProps/ctrlProp63.xml"/><Relationship Id="rId66" Type="http://schemas.openxmlformats.org/officeDocument/2006/relationships/ctrlProp" Target="../ctrlProps/ctrlProp71.xml"/><Relationship Id="rId74" Type="http://schemas.openxmlformats.org/officeDocument/2006/relationships/ctrlProp" Target="../ctrlProps/ctrlProp79.xml"/><Relationship Id="rId79" Type="http://schemas.openxmlformats.org/officeDocument/2006/relationships/ctrlProp" Target="../ctrlProps/ctrlProp84.xml"/><Relationship Id="rId5" Type="http://schemas.openxmlformats.org/officeDocument/2006/relationships/vmlDrawing" Target="../drawings/vmlDrawing2.vml"/><Relationship Id="rId61" Type="http://schemas.openxmlformats.org/officeDocument/2006/relationships/ctrlProp" Target="../ctrlProps/ctrlProp66.xml"/><Relationship Id="rId82" Type="http://schemas.openxmlformats.org/officeDocument/2006/relationships/ctrlProp" Target="../ctrlProps/ctrlProp87.xml"/><Relationship Id="rId19" Type="http://schemas.openxmlformats.org/officeDocument/2006/relationships/ctrlProp" Target="../ctrlProps/ctrlProp24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4.xml"/><Relationship Id="rId14" Type="http://schemas.openxmlformats.org/officeDocument/2006/relationships/ctrlProp" Target="../ctrlProps/ctrlProp19.xml"/><Relationship Id="rId22" Type="http://schemas.openxmlformats.org/officeDocument/2006/relationships/ctrlProp" Target="../ctrlProps/ctrlProp27.xml"/><Relationship Id="rId27" Type="http://schemas.openxmlformats.org/officeDocument/2006/relationships/ctrlProp" Target="../ctrlProps/ctrlProp32.xml"/><Relationship Id="rId30" Type="http://schemas.openxmlformats.org/officeDocument/2006/relationships/ctrlProp" Target="../ctrlProps/ctrlProp35.xml"/><Relationship Id="rId35" Type="http://schemas.openxmlformats.org/officeDocument/2006/relationships/ctrlProp" Target="../ctrlProps/ctrlProp40.xml"/><Relationship Id="rId43" Type="http://schemas.openxmlformats.org/officeDocument/2006/relationships/ctrlProp" Target="../ctrlProps/ctrlProp48.xml"/><Relationship Id="rId48" Type="http://schemas.openxmlformats.org/officeDocument/2006/relationships/ctrlProp" Target="../ctrlProps/ctrlProp53.xml"/><Relationship Id="rId56" Type="http://schemas.openxmlformats.org/officeDocument/2006/relationships/ctrlProp" Target="../ctrlProps/ctrlProp61.xml"/><Relationship Id="rId64" Type="http://schemas.openxmlformats.org/officeDocument/2006/relationships/ctrlProp" Target="../ctrlProps/ctrlProp69.xml"/><Relationship Id="rId69" Type="http://schemas.openxmlformats.org/officeDocument/2006/relationships/ctrlProp" Target="../ctrlProps/ctrlProp74.xml"/><Relationship Id="rId77" Type="http://schemas.openxmlformats.org/officeDocument/2006/relationships/ctrlProp" Target="../ctrlProps/ctrlProp82.xml"/><Relationship Id="rId8" Type="http://schemas.openxmlformats.org/officeDocument/2006/relationships/ctrlProp" Target="../ctrlProps/ctrlProp13.xml"/><Relationship Id="rId51" Type="http://schemas.openxmlformats.org/officeDocument/2006/relationships/ctrlProp" Target="../ctrlProps/ctrlProp56.xml"/><Relationship Id="rId72" Type="http://schemas.openxmlformats.org/officeDocument/2006/relationships/ctrlProp" Target="../ctrlProps/ctrlProp77.xml"/><Relationship Id="rId80" Type="http://schemas.openxmlformats.org/officeDocument/2006/relationships/ctrlProp" Target="../ctrlProps/ctrlProp85.xml"/><Relationship Id="rId85" Type="http://schemas.openxmlformats.org/officeDocument/2006/relationships/ctrlProp" Target="../ctrlProps/ctrlProp90.xml"/><Relationship Id="rId3" Type="http://schemas.openxmlformats.org/officeDocument/2006/relationships/printerSettings" Target="../printerSettings/printerSettings6.bin"/><Relationship Id="rId12" Type="http://schemas.openxmlformats.org/officeDocument/2006/relationships/ctrlProp" Target="../ctrlProps/ctrlProp17.xml"/><Relationship Id="rId17" Type="http://schemas.openxmlformats.org/officeDocument/2006/relationships/ctrlProp" Target="../ctrlProps/ctrlProp22.xml"/><Relationship Id="rId25" Type="http://schemas.openxmlformats.org/officeDocument/2006/relationships/ctrlProp" Target="../ctrlProps/ctrlProp30.xml"/><Relationship Id="rId33" Type="http://schemas.openxmlformats.org/officeDocument/2006/relationships/ctrlProp" Target="../ctrlProps/ctrlProp38.xml"/><Relationship Id="rId38" Type="http://schemas.openxmlformats.org/officeDocument/2006/relationships/ctrlProp" Target="../ctrlProps/ctrlProp43.xml"/><Relationship Id="rId46" Type="http://schemas.openxmlformats.org/officeDocument/2006/relationships/ctrlProp" Target="../ctrlProps/ctrlProp51.xml"/><Relationship Id="rId59" Type="http://schemas.openxmlformats.org/officeDocument/2006/relationships/ctrlProp" Target="../ctrlProps/ctrlProp64.xml"/><Relationship Id="rId67" Type="http://schemas.openxmlformats.org/officeDocument/2006/relationships/ctrlProp" Target="../ctrlProps/ctrlProp72.xml"/><Relationship Id="rId20" Type="http://schemas.openxmlformats.org/officeDocument/2006/relationships/ctrlProp" Target="../ctrlProps/ctrlProp25.xml"/><Relationship Id="rId41" Type="http://schemas.openxmlformats.org/officeDocument/2006/relationships/ctrlProp" Target="../ctrlProps/ctrlProp46.xml"/><Relationship Id="rId54" Type="http://schemas.openxmlformats.org/officeDocument/2006/relationships/ctrlProp" Target="../ctrlProps/ctrlProp59.xml"/><Relationship Id="rId62" Type="http://schemas.openxmlformats.org/officeDocument/2006/relationships/ctrlProp" Target="../ctrlProps/ctrlProp67.xml"/><Relationship Id="rId70" Type="http://schemas.openxmlformats.org/officeDocument/2006/relationships/ctrlProp" Target="../ctrlProps/ctrlProp75.xml"/><Relationship Id="rId75" Type="http://schemas.openxmlformats.org/officeDocument/2006/relationships/ctrlProp" Target="../ctrlProps/ctrlProp80.xml"/><Relationship Id="rId83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.xml"/><Relationship Id="rId15" Type="http://schemas.openxmlformats.org/officeDocument/2006/relationships/ctrlProp" Target="../ctrlProps/ctrlProp20.xml"/><Relationship Id="rId23" Type="http://schemas.openxmlformats.org/officeDocument/2006/relationships/ctrlProp" Target="../ctrlProps/ctrlProp28.xml"/><Relationship Id="rId28" Type="http://schemas.openxmlformats.org/officeDocument/2006/relationships/ctrlProp" Target="../ctrlProps/ctrlProp33.xml"/><Relationship Id="rId36" Type="http://schemas.openxmlformats.org/officeDocument/2006/relationships/ctrlProp" Target="../ctrlProps/ctrlProp41.xml"/><Relationship Id="rId49" Type="http://schemas.openxmlformats.org/officeDocument/2006/relationships/ctrlProp" Target="../ctrlProps/ctrlProp54.xml"/><Relationship Id="rId57" Type="http://schemas.openxmlformats.org/officeDocument/2006/relationships/ctrlProp" Target="../ctrlProps/ctrlProp62.xml"/><Relationship Id="rId10" Type="http://schemas.openxmlformats.org/officeDocument/2006/relationships/ctrlProp" Target="../ctrlProps/ctrlProp15.xml"/><Relationship Id="rId31" Type="http://schemas.openxmlformats.org/officeDocument/2006/relationships/ctrlProp" Target="../ctrlProps/ctrlProp36.xml"/><Relationship Id="rId44" Type="http://schemas.openxmlformats.org/officeDocument/2006/relationships/ctrlProp" Target="../ctrlProps/ctrlProp49.xml"/><Relationship Id="rId52" Type="http://schemas.openxmlformats.org/officeDocument/2006/relationships/ctrlProp" Target="../ctrlProps/ctrlProp57.xml"/><Relationship Id="rId60" Type="http://schemas.openxmlformats.org/officeDocument/2006/relationships/ctrlProp" Target="../ctrlProps/ctrlProp65.xml"/><Relationship Id="rId65" Type="http://schemas.openxmlformats.org/officeDocument/2006/relationships/ctrlProp" Target="../ctrlProps/ctrlProp70.xml"/><Relationship Id="rId73" Type="http://schemas.openxmlformats.org/officeDocument/2006/relationships/ctrlProp" Target="../ctrlProps/ctrlProp78.xml"/><Relationship Id="rId78" Type="http://schemas.openxmlformats.org/officeDocument/2006/relationships/ctrlProp" Target="../ctrlProps/ctrlProp83.xml"/><Relationship Id="rId81" Type="http://schemas.openxmlformats.org/officeDocument/2006/relationships/ctrlProp" Target="../ctrlProps/ctrlProp8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S784"/>
  <sheetViews>
    <sheetView showGridLines="0" tabSelected="1" showWhiteSpace="0" view="pageBreakPreview" topLeftCell="A13" zoomScale="120" zoomScaleNormal="100" zoomScaleSheetLayoutView="120" workbookViewId="0">
      <selection activeCell="AE35" sqref="AE35"/>
    </sheetView>
  </sheetViews>
  <sheetFormatPr baseColWidth="10" defaultColWidth="11.42578125" defaultRowHeight="12.75" zeroHeight="1" x14ac:dyDescent="0.2"/>
  <cols>
    <col min="1" max="1" width="3.85546875" style="202" customWidth="1"/>
    <col min="2" max="2" width="3.85546875" style="197" customWidth="1"/>
    <col min="3" max="3" width="3.7109375" style="197" customWidth="1"/>
    <col min="4" max="4" width="4.5703125" style="197" customWidth="1"/>
    <col min="5" max="5" width="4.140625" style="197" customWidth="1"/>
    <col min="6" max="6" width="3.5703125" style="197" customWidth="1"/>
    <col min="7" max="11" width="3.7109375" style="197" customWidth="1"/>
    <col min="12" max="12" width="3.42578125" style="197" customWidth="1"/>
    <col min="13" max="23" width="3.7109375" style="197" customWidth="1"/>
    <col min="24" max="24" width="1.5703125" style="197" customWidth="1"/>
    <col min="25" max="25" width="5.5703125" style="197" customWidth="1"/>
    <col min="26" max="26" width="3.7109375" style="197" customWidth="1"/>
    <col min="27" max="27" width="4.28515625" style="197" customWidth="1"/>
    <col min="28" max="28" width="6.140625" style="197" customWidth="1"/>
    <col min="29" max="29" width="3.28515625" style="197" customWidth="1"/>
    <col min="30" max="30" width="9.28515625" style="197" customWidth="1"/>
    <col min="31" max="31" width="8.140625" style="197" customWidth="1"/>
    <col min="32" max="33" width="11.42578125" style="197"/>
    <col min="34" max="34" width="17" style="197" customWidth="1"/>
    <col min="35" max="37" width="11.42578125" style="197"/>
    <col min="38" max="41" width="20.140625" style="197" customWidth="1"/>
    <col min="42" max="43" width="11.42578125" style="197"/>
    <col min="44" max="44" width="22.85546875" style="197" customWidth="1"/>
    <col min="45" max="45" width="11.42578125" style="197"/>
    <col min="46" max="51" width="11.5703125" style="197" bestFit="1" customWidth="1"/>
    <col min="52" max="52" width="13" style="197" bestFit="1" customWidth="1"/>
    <col min="53" max="53" width="11.5703125" style="197" bestFit="1" customWidth="1"/>
    <col min="54" max="54" width="13.42578125" style="197" customWidth="1"/>
    <col min="55" max="56" width="11.5703125" style="197" bestFit="1" customWidth="1"/>
    <col min="57" max="16384" width="11.42578125" style="197"/>
  </cols>
  <sheetData>
    <row r="1" spans="1:30" ht="19.5" customHeight="1" x14ac:dyDescent="0.25">
      <c r="A1" s="569" t="s">
        <v>924</v>
      </c>
      <c r="B1" s="570"/>
      <c r="C1" s="570"/>
      <c r="D1" s="571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</row>
    <row r="2" spans="1:30" ht="12.75" customHeight="1" x14ac:dyDescent="0.2">
      <c r="A2" s="572"/>
      <c r="B2" s="572"/>
      <c r="C2" s="572"/>
      <c r="D2" s="573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</row>
    <row r="3" spans="1:30" ht="12.75" customHeight="1" x14ac:dyDescent="0.25">
      <c r="A3" s="373" t="s">
        <v>936</v>
      </c>
      <c r="B3" s="374"/>
      <c r="C3" s="199"/>
      <c r="E3" s="199"/>
      <c r="F3" s="199"/>
      <c r="G3" s="199"/>
      <c r="H3" s="199"/>
      <c r="I3" s="199"/>
      <c r="J3" s="199"/>
      <c r="K3" s="199"/>
      <c r="L3" s="199"/>
      <c r="M3" s="199"/>
      <c r="N3" s="200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01"/>
    </row>
    <row r="4" spans="1:30" ht="18" customHeight="1" x14ac:dyDescent="0.25">
      <c r="A4" s="375"/>
      <c r="B4" s="376"/>
      <c r="C4" s="549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203"/>
      <c r="AA4" s="203"/>
    </row>
    <row r="5" spans="1:30" ht="18.75" customHeight="1" x14ac:dyDescent="0.2"/>
    <row r="6" spans="1:30" ht="9.6" customHeight="1" x14ac:dyDescent="0.2"/>
    <row r="7" spans="1:30" ht="69" customHeight="1" x14ac:dyDescent="0.2">
      <c r="A7" s="555" t="s">
        <v>923</v>
      </c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  <c r="N7" s="556"/>
      <c r="O7" s="556"/>
      <c r="P7" s="556"/>
      <c r="Q7" s="556"/>
      <c r="R7" s="556"/>
      <c r="S7" s="556"/>
      <c r="T7" s="556"/>
      <c r="U7" s="556"/>
      <c r="V7" s="556"/>
      <c r="W7" s="556"/>
      <c r="X7" s="556"/>
      <c r="Y7" s="556"/>
      <c r="Z7" s="556"/>
      <c r="AA7" s="556"/>
      <c r="AB7" s="557"/>
      <c r="AC7" s="204"/>
    </row>
    <row r="8" spans="1:30" ht="10.15" customHeight="1" x14ac:dyDescent="0.2">
      <c r="A8" s="204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</row>
    <row r="9" spans="1:30" ht="15.75" x14ac:dyDescent="0.25">
      <c r="A9" s="205" t="s">
        <v>212</v>
      </c>
      <c r="B9" s="206" t="s">
        <v>809</v>
      </c>
      <c r="C9" s="206"/>
      <c r="D9" s="206"/>
      <c r="E9" s="207"/>
      <c r="F9" s="207"/>
      <c r="G9" s="207"/>
      <c r="H9" s="207"/>
      <c r="I9" s="207"/>
      <c r="J9" s="207"/>
      <c r="K9" s="207"/>
      <c r="L9" s="208"/>
      <c r="M9" s="208"/>
      <c r="N9" s="208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10"/>
      <c r="AD9" s="211"/>
    </row>
    <row r="10" spans="1:30" x14ac:dyDescent="0.2">
      <c r="A10" s="212"/>
      <c r="B10" s="562" t="s">
        <v>810</v>
      </c>
      <c r="C10" s="563"/>
      <c r="D10" s="563"/>
      <c r="E10" s="563"/>
      <c r="F10" s="563"/>
      <c r="G10" s="563"/>
      <c r="H10" s="563"/>
      <c r="I10" s="563"/>
      <c r="J10" s="563"/>
      <c r="K10" s="563"/>
      <c r="L10" s="563"/>
      <c r="M10" s="563"/>
      <c r="N10" s="563"/>
      <c r="O10" s="563"/>
      <c r="P10" s="563"/>
      <c r="Q10" s="563"/>
      <c r="R10" s="563"/>
      <c r="S10" s="563"/>
      <c r="T10" s="563"/>
      <c r="U10" s="563"/>
      <c r="V10" s="563"/>
      <c r="W10" s="563"/>
      <c r="X10" s="564"/>
      <c r="Y10" s="213"/>
      <c r="Z10" s="213"/>
      <c r="AA10" s="123"/>
      <c r="AB10" s="214"/>
    </row>
    <row r="11" spans="1:30" ht="14.25" x14ac:dyDescent="0.2">
      <c r="A11" s="212"/>
      <c r="B11" s="542"/>
      <c r="C11" s="543"/>
      <c r="D11" s="543"/>
      <c r="E11" s="543"/>
      <c r="F11" s="543"/>
      <c r="G11" s="543"/>
      <c r="H11" s="543"/>
      <c r="I11" s="543"/>
      <c r="J11" s="543"/>
      <c r="K11" s="543"/>
      <c r="L11" s="543"/>
      <c r="M11" s="543"/>
      <c r="N11" s="543"/>
      <c r="O11" s="543"/>
      <c r="P11" s="543"/>
      <c r="Q11" s="543"/>
      <c r="R11" s="543"/>
      <c r="S11" s="543"/>
      <c r="T11" s="543"/>
      <c r="U11" s="543"/>
      <c r="V11" s="543"/>
      <c r="W11" s="543"/>
      <c r="X11" s="544"/>
      <c r="Y11" s="215"/>
      <c r="Z11" s="215"/>
      <c r="AA11" s="553"/>
      <c r="AB11" s="554"/>
    </row>
    <row r="12" spans="1:30" ht="13.15" customHeight="1" x14ac:dyDescent="0.2">
      <c r="A12" s="212"/>
      <c r="B12" s="558" t="s">
        <v>90</v>
      </c>
      <c r="C12" s="559"/>
      <c r="D12" s="559"/>
      <c r="E12" s="559"/>
      <c r="F12" s="559"/>
      <c r="G12" s="559"/>
      <c r="H12" s="559"/>
      <c r="I12" s="559"/>
      <c r="J12" s="559"/>
      <c r="K12" s="560"/>
      <c r="L12" s="219" t="s">
        <v>39</v>
      </c>
      <c r="M12" s="561"/>
      <c r="N12" s="559"/>
      <c r="O12" s="560"/>
      <c r="P12" s="220" t="s">
        <v>40</v>
      </c>
      <c r="Q12" s="219"/>
      <c r="R12" s="123"/>
      <c r="S12" s="123"/>
      <c r="T12" s="123"/>
      <c r="U12" s="123"/>
      <c r="V12" s="123"/>
      <c r="W12" s="123"/>
      <c r="X12" s="221"/>
      <c r="Y12" s="123"/>
      <c r="Z12" s="123"/>
      <c r="AA12" s="565"/>
      <c r="AB12" s="493"/>
    </row>
    <row r="13" spans="1:30" ht="14.25" x14ac:dyDescent="0.2">
      <c r="A13" s="212"/>
      <c r="B13" s="507"/>
      <c r="C13" s="540"/>
      <c r="D13" s="540"/>
      <c r="E13" s="540"/>
      <c r="F13" s="540"/>
      <c r="G13" s="540"/>
      <c r="H13" s="540"/>
      <c r="I13" s="540"/>
      <c r="J13" s="540"/>
      <c r="K13" s="541"/>
      <c r="L13" s="507"/>
      <c r="M13" s="551"/>
      <c r="N13" s="551"/>
      <c r="O13" s="552"/>
      <c r="P13" s="542"/>
      <c r="Q13" s="543"/>
      <c r="R13" s="543"/>
      <c r="S13" s="543"/>
      <c r="T13" s="543"/>
      <c r="U13" s="543"/>
      <c r="V13" s="543"/>
      <c r="W13" s="543"/>
      <c r="X13" s="544"/>
      <c r="Y13" s="222"/>
      <c r="Z13" s="222"/>
      <c r="AA13" s="492"/>
      <c r="AB13" s="493"/>
    </row>
    <row r="14" spans="1:30" s="229" customFormat="1" x14ac:dyDescent="0.2">
      <c r="A14" s="223"/>
      <c r="B14" s="510" t="s">
        <v>49</v>
      </c>
      <c r="C14" s="538"/>
      <c r="D14" s="538"/>
      <c r="E14" s="538"/>
      <c r="F14" s="539"/>
      <c r="G14" s="510" t="s">
        <v>248</v>
      </c>
      <c r="H14" s="538"/>
      <c r="I14" s="538"/>
      <c r="J14" s="538"/>
      <c r="K14" s="539"/>
      <c r="L14" s="586" t="s">
        <v>50</v>
      </c>
      <c r="M14" s="563"/>
      <c r="N14" s="563"/>
      <c r="O14" s="563"/>
      <c r="P14" s="563"/>
      <c r="Q14" s="563"/>
      <c r="R14" s="563"/>
      <c r="S14" s="563"/>
      <c r="T14" s="563"/>
      <c r="U14" s="563"/>
      <c r="V14" s="563"/>
      <c r="W14" s="563"/>
      <c r="X14" s="564"/>
      <c r="Y14" s="228"/>
      <c r="Z14" s="123"/>
      <c r="AB14" s="230"/>
    </row>
    <row r="15" spans="1:30" ht="14.25" x14ac:dyDescent="0.2">
      <c r="A15" s="212"/>
      <c r="B15" s="507"/>
      <c r="C15" s="540"/>
      <c r="D15" s="540"/>
      <c r="E15" s="540"/>
      <c r="F15" s="541"/>
      <c r="G15" s="507"/>
      <c r="H15" s="540"/>
      <c r="I15" s="540"/>
      <c r="J15" s="540"/>
      <c r="K15" s="541"/>
      <c r="L15" s="583"/>
      <c r="M15" s="543"/>
      <c r="N15" s="543"/>
      <c r="O15" s="543"/>
      <c r="P15" s="543"/>
      <c r="Q15" s="543"/>
      <c r="R15" s="543"/>
      <c r="S15" s="543"/>
      <c r="T15" s="543"/>
      <c r="U15" s="543"/>
      <c r="V15" s="543"/>
      <c r="W15" s="543"/>
      <c r="X15" s="544"/>
      <c r="Y15" s="231"/>
      <c r="Z15" s="231"/>
      <c r="AB15" s="232"/>
    </row>
    <row r="16" spans="1:30" s="235" customFormat="1" ht="15" x14ac:dyDescent="0.2">
      <c r="A16" s="233"/>
      <c r="B16" s="234" t="s">
        <v>209</v>
      </c>
      <c r="H16" s="236"/>
      <c r="I16" s="237"/>
      <c r="J16" s="237"/>
      <c r="K16" s="237"/>
      <c r="L16" s="237"/>
      <c r="M16" s="237"/>
      <c r="N16" s="237"/>
      <c r="O16" s="237"/>
      <c r="P16" s="238"/>
      <c r="S16" s="236"/>
      <c r="T16" s="237"/>
      <c r="U16" s="237"/>
      <c r="V16" s="237"/>
      <c r="W16" s="237"/>
      <c r="X16" s="237"/>
      <c r="Y16" s="237"/>
      <c r="Z16" s="237"/>
      <c r="AA16" s="239"/>
      <c r="AB16" s="240"/>
    </row>
    <row r="17" spans="1:41" s="229" customFormat="1" ht="12.75" customHeight="1" x14ac:dyDescent="0.2">
      <c r="A17" s="223"/>
      <c r="B17" s="510" t="s">
        <v>48</v>
      </c>
      <c r="C17" s="435"/>
      <c r="D17" s="216" t="s">
        <v>162</v>
      </c>
      <c r="E17" s="225"/>
      <c r="F17" s="225"/>
      <c r="G17" s="226"/>
      <c r="H17" s="224" t="s">
        <v>46</v>
      </c>
      <c r="I17" s="217"/>
      <c r="J17" s="217"/>
      <c r="K17" s="217"/>
      <c r="L17" s="217"/>
      <c r="M17" s="217"/>
      <c r="N17" s="217"/>
      <c r="O17" s="217"/>
      <c r="P17" s="218"/>
      <c r="Q17" s="227" t="s">
        <v>95</v>
      </c>
      <c r="R17" s="241"/>
      <c r="S17" s="241"/>
      <c r="T17" s="241"/>
      <c r="U17" s="241"/>
      <c r="V17" s="241"/>
      <c r="W17" s="241"/>
      <c r="X17" s="242"/>
      <c r="Y17" s="228"/>
      <c r="Z17" s="228"/>
      <c r="AA17" s="577"/>
      <c r="AB17" s="578"/>
    </row>
    <row r="18" spans="1:41" ht="14.25" x14ac:dyDescent="0.2">
      <c r="A18" s="212"/>
      <c r="B18" s="507"/>
      <c r="C18" s="509"/>
      <c r="D18" s="507"/>
      <c r="E18" s="579"/>
      <c r="F18" s="579"/>
      <c r="G18" s="580"/>
      <c r="H18" s="507"/>
      <c r="I18" s="508"/>
      <c r="J18" s="508"/>
      <c r="K18" s="508"/>
      <c r="L18" s="508"/>
      <c r="M18" s="508"/>
      <c r="N18" s="508"/>
      <c r="O18" s="508"/>
      <c r="P18" s="509"/>
      <c r="Q18" s="542"/>
      <c r="R18" s="543"/>
      <c r="S18" s="543"/>
      <c r="T18" s="543"/>
      <c r="U18" s="543"/>
      <c r="V18" s="543"/>
      <c r="W18" s="543"/>
      <c r="X18" s="544"/>
      <c r="Y18" s="231"/>
      <c r="Z18" s="231"/>
      <c r="AA18" s="581"/>
      <c r="AB18" s="582"/>
    </row>
    <row r="19" spans="1:41" s="235" customFormat="1" ht="15" x14ac:dyDescent="0.2">
      <c r="A19" s="233"/>
      <c r="B19" s="234" t="s">
        <v>163</v>
      </c>
      <c r="H19" s="236"/>
      <c r="I19" s="237"/>
      <c r="J19" s="237"/>
      <c r="K19" s="237"/>
      <c r="L19" s="237"/>
      <c r="M19" s="237"/>
      <c r="N19" s="237"/>
      <c r="O19" s="237"/>
      <c r="P19" s="238"/>
      <c r="S19" s="236"/>
      <c r="T19" s="237"/>
      <c r="U19" s="237"/>
      <c r="V19" s="237"/>
      <c r="W19" s="237"/>
      <c r="X19" s="237"/>
      <c r="Y19" s="237"/>
      <c r="Z19" s="237"/>
      <c r="AA19" s="239"/>
      <c r="AB19" s="243"/>
    </row>
    <row r="20" spans="1:41" s="229" customFormat="1" x14ac:dyDescent="0.2">
      <c r="A20" s="223"/>
      <c r="B20" s="510" t="s">
        <v>48</v>
      </c>
      <c r="C20" s="538"/>
      <c r="D20" s="538"/>
      <c r="E20" s="539"/>
      <c r="F20" s="510" t="s">
        <v>46</v>
      </c>
      <c r="G20" s="559"/>
      <c r="H20" s="559"/>
      <c r="I20" s="559"/>
      <c r="J20" s="559"/>
      <c r="K20" s="559"/>
      <c r="L20" s="559"/>
      <c r="M20" s="559"/>
      <c r="N20" s="559"/>
      <c r="O20" s="559"/>
      <c r="P20" s="560"/>
      <c r="Q20" s="586" t="s">
        <v>95</v>
      </c>
      <c r="R20" s="563"/>
      <c r="S20" s="563"/>
      <c r="T20" s="563"/>
      <c r="U20" s="563"/>
      <c r="V20" s="563"/>
      <c r="W20" s="563"/>
      <c r="X20" s="564"/>
      <c r="Y20" s="228"/>
      <c r="Z20" s="228"/>
      <c r="AA20" s="590" t="str">
        <f>IF(neufass=0," ","Neue Fass.")</f>
        <v xml:space="preserve"> </v>
      </c>
      <c r="AB20" s="591"/>
    </row>
    <row r="21" spans="1:41" ht="14.25" x14ac:dyDescent="0.2">
      <c r="A21" s="212"/>
      <c r="B21" s="507"/>
      <c r="C21" s="540"/>
      <c r="D21" s="540"/>
      <c r="E21" s="541"/>
      <c r="F21" s="507"/>
      <c r="G21" s="540"/>
      <c r="H21" s="540"/>
      <c r="I21" s="540"/>
      <c r="J21" s="540"/>
      <c r="K21" s="540"/>
      <c r="L21" s="540"/>
      <c r="M21" s="540"/>
      <c r="N21" s="540"/>
      <c r="O21" s="540"/>
      <c r="P21" s="541"/>
      <c r="Q21" s="542"/>
      <c r="R21" s="543"/>
      <c r="S21" s="543"/>
      <c r="T21" s="543"/>
      <c r="U21" s="543"/>
      <c r="V21" s="543"/>
      <c r="W21" s="543"/>
      <c r="X21" s="544"/>
      <c r="Y21" s="231"/>
      <c r="Z21" s="231"/>
      <c r="AA21" s="581" t="str">
        <f>IF(neufass=0," ", neufass)</f>
        <v xml:space="preserve"> </v>
      </c>
      <c r="AB21" s="582"/>
    </row>
    <row r="22" spans="1:41" s="229" customFormat="1" x14ac:dyDescent="0.2">
      <c r="A22" s="223"/>
      <c r="B22" s="510" t="s">
        <v>49</v>
      </c>
      <c r="C22" s="559"/>
      <c r="D22" s="559"/>
      <c r="E22" s="559"/>
      <c r="F22" s="559"/>
      <c r="H22" s="123"/>
      <c r="I22" s="123"/>
      <c r="J22" s="123"/>
      <c r="K22" s="221"/>
      <c r="L22" s="510" t="s">
        <v>50</v>
      </c>
      <c r="M22" s="465"/>
      <c r="N22" s="465"/>
      <c r="O22" s="465"/>
      <c r="P22" s="465"/>
      <c r="Q22" s="465"/>
      <c r="R22" s="465"/>
      <c r="S22" s="465"/>
      <c r="T22" s="465"/>
      <c r="U22" s="465"/>
      <c r="V22" s="465"/>
      <c r="W22" s="465"/>
      <c r="X22" s="435"/>
      <c r="Y22" s="123"/>
      <c r="Z22" s="123"/>
      <c r="AA22" s="244"/>
      <c r="AB22" s="230"/>
    </row>
    <row r="23" spans="1:41" ht="14.25" x14ac:dyDescent="0.2">
      <c r="A23" s="212"/>
      <c r="B23" s="507"/>
      <c r="C23" s="540"/>
      <c r="D23" s="540"/>
      <c r="E23" s="540"/>
      <c r="F23" s="540"/>
      <c r="G23" s="584"/>
      <c r="H23" s="584"/>
      <c r="I23" s="584"/>
      <c r="J23" s="584"/>
      <c r="K23" s="585"/>
      <c r="L23" s="507"/>
      <c r="M23" s="508"/>
      <c r="N23" s="508"/>
      <c r="O23" s="508"/>
      <c r="P23" s="508"/>
      <c r="Q23" s="508"/>
      <c r="R23" s="508"/>
      <c r="S23" s="508"/>
      <c r="T23" s="508"/>
      <c r="U23" s="508"/>
      <c r="V23" s="508"/>
      <c r="W23" s="508"/>
      <c r="X23" s="509"/>
      <c r="Y23" s="215"/>
      <c r="Z23" s="215"/>
      <c r="AA23" s="123"/>
      <c r="AB23" s="232"/>
    </row>
    <row r="24" spans="1:41" s="235" customFormat="1" ht="15" x14ac:dyDescent="0.2">
      <c r="A24" s="233"/>
      <c r="B24" s="234" t="s">
        <v>210</v>
      </c>
      <c r="C24" s="245"/>
      <c r="D24" s="245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7"/>
      <c r="W24" s="246"/>
      <c r="X24" s="246"/>
      <c r="Y24" s="246"/>
      <c r="Z24" s="246"/>
      <c r="AB24" s="240"/>
    </row>
    <row r="25" spans="1:41" ht="17.25" customHeight="1" x14ac:dyDescent="0.2">
      <c r="A25" s="248"/>
      <c r="B25" s="566" t="s">
        <v>841</v>
      </c>
      <c r="C25" s="567"/>
      <c r="D25" s="567"/>
      <c r="E25" s="567"/>
      <c r="F25" s="567"/>
      <c r="G25" s="567"/>
      <c r="H25" s="567"/>
      <c r="I25" s="567"/>
      <c r="J25" s="567"/>
      <c r="K25" s="567"/>
      <c r="L25" s="567"/>
      <c r="M25" s="567"/>
      <c r="N25" s="567"/>
      <c r="O25" s="567"/>
      <c r="P25" s="568"/>
      <c r="Q25" s="545" t="str">
        <f>IF(Akauswahl=3,"EurekaRLP Plus-Begünstigtennr.:","")</f>
        <v/>
      </c>
      <c r="R25" s="546"/>
      <c r="S25" s="546"/>
      <c r="T25" s="546"/>
      <c r="U25" s="546"/>
      <c r="V25" s="546"/>
      <c r="W25" s="546"/>
      <c r="X25" s="546"/>
      <c r="Y25" s="546"/>
      <c r="Z25" s="546"/>
      <c r="AA25" s="546"/>
      <c r="AB25" s="547"/>
      <c r="AH25" s="249"/>
    </row>
    <row r="26" spans="1:41" ht="20.45" customHeight="1" x14ac:dyDescent="0.2">
      <c r="A26" s="250"/>
      <c r="B26" s="25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189"/>
      <c r="N26" s="189"/>
      <c r="O26" s="189"/>
      <c r="P26" s="252"/>
      <c r="Q26" s="548"/>
      <c r="R26" s="508"/>
      <c r="S26" s="508"/>
      <c r="T26" s="508"/>
      <c r="U26" s="508"/>
      <c r="V26" s="508"/>
      <c r="W26" s="508"/>
      <c r="X26" s="508"/>
      <c r="Y26" s="508"/>
      <c r="Z26" s="508"/>
      <c r="AA26" s="508"/>
      <c r="AB26" s="509"/>
      <c r="AH26" s="249"/>
    </row>
    <row r="27" spans="1:41" ht="32.25" customHeight="1" x14ac:dyDescent="0.2">
      <c r="A27" s="250"/>
      <c r="B27" s="587" t="str">
        <f>IF(Akauswahl = 4,"Bitte nehmen Sie umgehend Kontakt zur ESF+-Beratungsstelle auf: Tel. 0651-14645-12 oder akkreditierung@schneider-beratung.eu"," ")</f>
        <v xml:space="preserve"> </v>
      </c>
      <c r="C27" s="588"/>
      <c r="D27" s="588"/>
      <c r="E27" s="588"/>
      <c r="F27" s="588"/>
      <c r="G27" s="588"/>
      <c r="H27" s="588"/>
      <c r="I27" s="588"/>
      <c r="J27" s="588"/>
      <c r="K27" s="588"/>
      <c r="L27" s="588"/>
      <c r="M27" s="588"/>
      <c r="N27" s="588"/>
      <c r="O27" s="588"/>
      <c r="P27" s="588"/>
      <c r="Q27" s="588"/>
      <c r="R27" s="588"/>
      <c r="S27" s="588"/>
      <c r="T27" s="588"/>
      <c r="U27" s="588"/>
      <c r="V27" s="588"/>
      <c r="W27" s="588"/>
      <c r="X27" s="588"/>
      <c r="Y27" s="588"/>
      <c r="Z27" s="588"/>
      <c r="AA27" s="588"/>
      <c r="AB27" s="589"/>
      <c r="AH27" s="249"/>
      <c r="AJ27" s="315"/>
      <c r="AK27" s="315"/>
      <c r="AL27" s="315"/>
      <c r="AM27" s="315"/>
      <c r="AN27" s="315"/>
      <c r="AO27" s="315"/>
    </row>
    <row r="28" spans="1:41" s="294" customFormat="1" ht="18" customHeight="1" x14ac:dyDescent="0.2">
      <c r="A28" s="250"/>
      <c r="B28" s="345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7"/>
      <c r="AD28" s="315"/>
      <c r="AE28" s="315"/>
      <c r="AF28" s="315"/>
      <c r="AG28" s="315"/>
      <c r="AH28" s="317"/>
      <c r="AI28" s="315"/>
      <c r="AJ28" s="315"/>
      <c r="AK28" s="315"/>
      <c r="AL28" s="315"/>
      <c r="AM28" s="315"/>
      <c r="AN28" s="315"/>
      <c r="AO28" s="315"/>
    </row>
    <row r="29" spans="1:41" s="208" customFormat="1" ht="18" customHeight="1" x14ac:dyDescent="0.2">
      <c r="A29" s="344"/>
      <c r="B29" s="345"/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346"/>
      <c r="AB29" s="347"/>
      <c r="AC29" s="315"/>
      <c r="AD29" s="315"/>
      <c r="AE29" s="315"/>
      <c r="AF29" s="315"/>
      <c r="AG29" s="315"/>
      <c r="AH29" s="317"/>
      <c r="AI29" s="315"/>
      <c r="AJ29" s="315"/>
      <c r="AK29" s="315"/>
      <c r="AL29" s="315"/>
      <c r="AM29" s="315"/>
      <c r="AN29" s="315"/>
      <c r="AO29" s="315"/>
    </row>
    <row r="30" spans="1:41" s="235" customFormat="1" ht="15.75" x14ac:dyDescent="0.2">
      <c r="A30" s="253" t="s">
        <v>214</v>
      </c>
      <c r="B30" s="348" t="s">
        <v>213</v>
      </c>
      <c r="C30" s="348"/>
      <c r="D30" s="348"/>
      <c r="E30" s="348"/>
      <c r="F30" s="348"/>
      <c r="G30" s="349"/>
      <c r="H30" s="300"/>
      <c r="I30" s="300"/>
      <c r="J30" s="30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00"/>
      <c r="X30" s="350"/>
      <c r="Y30" s="350"/>
      <c r="Z30" s="300"/>
      <c r="AA30" s="300"/>
      <c r="AB30" s="240"/>
    </row>
    <row r="31" spans="1:41" x14ac:dyDescent="0.2">
      <c r="A31" s="255"/>
      <c r="B31" s="511" t="s">
        <v>169</v>
      </c>
      <c r="C31" s="512"/>
      <c r="D31" s="512"/>
      <c r="E31" s="512"/>
      <c r="F31" s="512"/>
      <c r="G31" s="512"/>
      <c r="H31" s="512"/>
      <c r="I31" s="512"/>
      <c r="J31" s="512"/>
      <c r="K31" s="512"/>
      <c r="L31" s="512"/>
      <c r="M31" s="512"/>
      <c r="N31" s="512"/>
      <c r="O31" s="512"/>
      <c r="P31" s="512"/>
      <c r="Q31" s="512"/>
      <c r="R31" s="512"/>
      <c r="S31" s="512"/>
      <c r="T31" s="512"/>
      <c r="U31" s="512"/>
      <c r="V31" s="512"/>
      <c r="W31" s="512"/>
      <c r="X31" s="512"/>
      <c r="Y31" s="512"/>
      <c r="Z31" s="512"/>
      <c r="AA31" s="512"/>
      <c r="AB31" s="513"/>
    </row>
    <row r="32" spans="1:41" s="291" customFormat="1" x14ac:dyDescent="0.2">
      <c r="A32" s="255"/>
      <c r="B32" s="400"/>
      <c r="C32" s="401"/>
      <c r="D32" s="401"/>
      <c r="E32" s="401"/>
      <c r="F32" s="401"/>
      <c r="G32" s="401"/>
      <c r="H32" s="401"/>
      <c r="I32" s="401"/>
      <c r="J32" s="401"/>
      <c r="K32" s="401"/>
      <c r="L32" s="401"/>
      <c r="M32" s="401"/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1"/>
      <c r="Y32" s="401"/>
      <c r="Z32" s="401"/>
      <c r="AA32" s="401"/>
      <c r="AB32" s="402"/>
    </row>
    <row r="33" spans="1:34" s="291" customFormat="1" x14ac:dyDescent="0.2">
      <c r="A33" s="255"/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5"/>
    </row>
    <row r="34" spans="1:34" s="257" customFormat="1" ht="21" customHeight="1" x14ac:dyDescent="0.2">
      <c r="A34" s="256"/>
      <c r="B34" s="514" t="s">
        <v>42</v>
      </c>
      <c r="C34" s="515"/>
      <c r="D34" s="515"/>
      <c r="E34" s="515"/>
      <c r="F34" s="515"/>
      <c r="G34" s="515"/>
      <c r="H34" s="515"/>
      <c r="I34" s="515"/>
      <c r="J34" s="382" t="s">
        <v>43</v>
      </c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592" t="s">
        <v>918</v>
      </c>
      <c r="X34" s="593"/>
      <c r="Y34" s="593"/>
      <c r="Z34" s="593"/>
      <c r="AA34" s="593"/>
      <c r="AB34" s="594"/>
      <c r="AC34" s="320"/>
      <c r="AD34" s="320"/>
      <c r="AE34" s="320"/>
      <c r="AF34" s="320"/>
      <c r="AG34" s="320"/>
      <c r="AH34" s="320"/>
    </row>
    <row r="35" spans="1:34" s="213" customFormat="1" ht="16.5" customHeight="1" x14ac:dyDescent="0.2">
      <c r="A35" s="220"/>
      <c r="B35" s="511" t="s">
        <v>52</v>
      </c>
      <c r="C35" s="516"/>
      <c r="D35" s="516"/>
      <c r="E35" s="298"/>
      <c r="F35" s="511" t="s">
        <v>53</v>
      </c>
      <c r="G35" s="516"/>
      <c r="H35" s="516"/>
      <c r="I35" s="536"/>
      <c r="J35" s="351"/>
      <c r="K35" s="319"/>
      <c r="L35" s="319"/>
      <c r="M35" s="319"/>
      <c r="N35" s="319"/>
      <c r="O35" s="319"/>
      <c r="P35" s="306"/>
      <c r="Q35" s="306"/>
      <c r="R35" s="306"/>
      <c r="S35" s="306"/>
      <c r="T35" s="306"/>
      <c r="U35" s="306"/>
      <c r="V35" s="306"/>
      <c r="W35" s="258" t="s">
        <v>850</v>
      </c>
      <c r="X35" s="296"/>
      <c r="Y35" s="296"/>
      <c r="Z35" s="296"/>
      <c r="AA35" s="296"/>
      <c r="AB35" s="259"/>
      <c r="AC35" s="314"/>
      <c r="AD35" s="314"/>
      <c r="AE35" s="314"/>
      <c r="AF35" s="314"/>
      <c r="AG35" s="314"/>
      <c r="AH35" s="314"/>
    </row>
    <row r="36" spans="1:34" ht="12" customHeight="1" x14ac:dyDescent="0.2">
      <c r="A36" s="321"/>
      <c r="B36" s="520"/>
      <c r="C36" s="521"/>
      <c r="D36" s="521"/>
      <c r="E36" s="522"/>
      <c r="F36" s="517"/>
      <c r="G36" s="518"/>
      <c r="H36" s="518"/>
      <c r="I36" s="519"/>
      <c r="J36" s="319"/>
      <c r="K36" s="319"/>
      <c r="L36" s="319"/>
      <c r="M36" s="319"/>
      <c r="N36" s="319"/>
      <c r="O36" s="319"/>
      <c r="P36" s="306"/>
      <c r="Q36" s="306"/>
      <c r="R36" s="306"/>
      <c r="S36" s="306"/>
      <c r="T36" s="306"/>
      <c r="U36" s="306"/>
      <c r="V36" s="306"/>
      <c r="W36" s="533"/>
      <c r="X36" s="534"/>
      <c r="Y36" s="534"/>
      <c r="Z36" s="534"/>
      <c r="AA36" s="534"/>
      <c r="AB36" s="535"/>
      <c r="AC36" s="315"/>
      <c r="AD36" s="315"/>
      <c r="AE36" s="315"/>
      <c r="AF36" s="315"/>
      <c r="AG36" s="315"/>
      <c r="AH36" s="315"/>
    </row>
    <row r="37" spans="1:34" s="235" customFormat="1" ht="15.75" customHeight="1" x14ac:dyDescent="0.2">
      <c r="A37" s="260"/>
      <c r="B37" s="383" t="s">
        <v>109</v>
      </c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22"/>
      <c r="AC37" s="300"/>
      <c r="AD37" s="300"/>
      <c r="AE37" s="300"/>
      <c r="AF37" s="300"/>
      <c r="AG37" s="300"/>
      <c r="AH37" s="300"/>
    </row>
    <row r="38" spans="1:34" s="263" customFormat="1" ht="18" customHeight="1" x14ac:dyDescent="0.2">
      <c r="A38" s="262"/>
      <c r="B38" s="352"/>
      <c r="C38" s="353"/>
      <c r="D38" s="353"/>
      <c r="E38" s="353"/>
      <c r="F38" s="353"/>
      <c r="G38" s="353"/>
      <c r="H38" s="353"/>
      <c r="I38" s="353"/>
      <c r="J38" s="353"/>
      <c r="K38" s="353"/>
      <c r="L38" s="352"/>
      <c r="M38" s="353"/>
      <c r="N38" s="353"/>
      <c r="O38" s="353"/>
      <c r="P38" s="353"/>
      <c r="Q38" s="353"/>
      <c r="R38" s="353"/>
      <c r="S38" s="353"/>
      <c r="T38" s="353"/>
      <c r="U38" s="353"/>
      <c r="V38" s="574"/>
      <c r="W38" s="575"/>
      <c r="X38" s="575"/>
      <c r="Y38" s="575"/>
      <c r="Z38" s="575"/>
      <c r="AA38" s="575"/>
      <c r="AB38" s="576"/>
    </row>
    <row r="39" spans="1:34" s="263" customFormat="1" ht="18" customHeight="1" x14ac:dyDescent="0.2">
      <c r="A39" s="262"/>
      <c r="B39" s="352"/>
      <c r="C39" s="353"/>
      <c r="D39" s="353"/>
      <c r="E39" s="353"/>
      <c r="F39" s="353"/>
      <c r="G39" s="353"/>
      <c r="H39" s="353"/>
      <c r="I39" s="353"/>
      <c r="J39" s="353"/>
      <c r="K39" s="353"/>
      <c r="L39" s="352"/>
      <c r="M39" s="353"/>
      <c r="N39" s="353"/>
      <c r="O39" s="353"/>
      <c r="P39" s="353"/>
      <c r="Q39" s="353"/>
      <c r="R39" s="353"/>
      <c r="S39" s="353"/>
      <c r="T39" s="353"/>
      <c r="U39" s="353"/>
      <c r="V39" s="354"/>
      <c r="W39" s="355"/>
      <c r="X39" s="355"/>
      <c r="Y39" s="355"/>
      <c r="Z39" s="355"/>
      <c r="AA39" s="355"/>
      <c r="AB39" s="356"/>
    </row>
    <row r="40" spans="1:34" s="263" customFormat="1" ht="18" customHeight="1" x14ac:dyDescent="0.25">
      <c r="A40" s="262"/>
      <c r="B40" s="403" t="s">
        <v>926</v>
      </c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353"/>
      <c r="P40" s="353"/>
      <c r="Q40" s="353"/>
      <c r="R40" s="353"/>
      <c r="S40" s="353"/>
      <c r="T40" s="353"/>
      <c r="U40" s="353"/>
      <c r="V40" s="354"/>
      <c r="W40" s="355"/>
      <c r="X40" s="355"/>
      <c r="Y40" s="355"/>
      <c r="Z40" s="355"/>
      <c r="AA40" s="355"/>
      <c r="AB40" s="356"/>
    </row>
    <row r="41" spans="1:34" s="263" customFormat="1" ht="24.75" customHeight="1" x14ac:dyDescent="0.2">
      <c r="A41" s="262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353"/>
      <c r="T41" s="353"/>
      <c r="U41" s="353"/>
      <c r="V41" s="354"/>
      <c r="W41" s="355"/>
      <c r="X41" s="355"/>
      <c r="Y41" s="355"/>
      <c r="Z41" s="355"/>
      <c r="AA41" s="355"/>
      <c r="AB41" s="356"/>
    </row>
    <row r="42" spans="1:34" ht="19.149999999999999" customHeight="1" x14ac:dyDescent="0.2">
      <c r="A42" s="255"/>
      <c r="B42" s="289"/>
      <c r="C42" s="290"/>
      <c r="D42" s="315"/>
      <c r="E42" s="315"/>
      <c r="F42" s="315"/>
      <c r="G42" s="315"/>
      <c r="H42" s="315"/>
      <c r="I42" s="315"/>
      <c r="J42" s="315"/>
      <c r="K42" s="315"/>
      <c r="L42" s="292"/>
      <c r="M42" s="315"/>
      <c r="N42" s="315"/>
      <c r="O42" s="315"/>
      <c r="P42" s="315"/>
      <c r="Q42" s="315"/>
      <c r="R42" s="315"/>
      <c r="S42" s="315"/>
      <c r="T42" s="315"/>
      <c r="U42" s="310"/>
      <c r="V42" s="293"/>
      <c r="W42" s="293"/>
      <c r="X42" s="293"/>
      <c r="Y42" s="293"/>
      <c r="Z42" s="293"/>
      <c r="AA42" s="293"/>
      <c r="AB42" s="357"/>
      <c r="AC42" s="291"/>
    </row>
    <row r="43" spans="1:34" s="235" customFormat="1" ht="15" x14ac:dyDescent="0.2">
      <c r="A43" s="260"/>
      <c r="B43" s="409" t="s">
        <v>138</v>
      </c>
      <c r="C43" s="409"/>
      <c r="D43" s="409"/>
      <c r="E43" s="409"/>
      <c r="F43" s="409"/>
      <c r="G43" s="409"/>
      <c r="H43" s="409"/>
      <c r="I43" s="410"/>
      <c r="J43" s="300"/>
      <c r="K43" s="300"/>
      <c r="L43" s="358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240"/>
    </row>
    <row r="44" spans="1:34" ht="20.25" customHeight="1" x14ac:dyDescent="0.2">
      <c r="A44" s="255"/>
      <c r="B44" s="525" t="s">
        <v>198</v>
      </c>
      <c r="C44" s="526"/>
      <c r="D44" s="526"/>
      <c r="E44" s="527"/>
      <c r="F44" s="388"/>
      <c r="G44" s="389"/>
      <c r="H44" s="390"/>
      <c r="I44" s="299"/>
      <c r="J44" s="523" t="s">
        <v>811</v>
      </c>
      <c r="K44" s="524"/>
      <c r="L44" s="524"/>
      <c r="M44" s="524"/>
      <c r="N44" s="524"/>
      <c r="O44" s="524"/>
      <c r="P44" s="524"/>
      <c r="Q44" s="524"/>
      <c r="R44" s="524"/>
      <c r="S44" s="524"/>
      <c r="T44" s="524"/>
      <c r="U44" s="524"/>
      <c r="V44" s="524"/>
      <c r="W44" s="524"/>
      <c r="X44" s="524"/>
      <c r="Y44" s="524"/>
      <c r="Z44" s="524"/>
      <c r="AA44" s="524"/>
      <c r="AB44" s="232"/>
    </row>
    <row r="45" spans="1:34" ht="18.600000000000001" customHeight="1" x14ac:dyDescent="0.2">
      <c r="A45" s="255"/>
      <c r="B45" s="384" t="s">
        <v>249</v>
      </c>
      <c r="C45" s="385"/>
      <c r="D45" s="385"/>
      <c r="E45" s="386"/>
      <c r="F45" s="388"/>
      <c r="G45" s="389"/>
      <c r="H45" s="390"/>
      <c r="I45" s="315"/>
      <c r="J45" s="302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5"/>
      <c r="AB45" s="232"/>
    </row>
    <row r="46" spans="1:34" ht="13.5" customHeight="1" x14ac:dyDescent="0.2">
      <c r="A46" s="255"/>
      <c r="B46" s="264" t="s">
        <v>45</v>
      </c>
      <c r="C46" s="265"/>
      <c r="D46" s="265"/>
      <c r="E46" s="265"/>
      <c r="F46" s="388"/>
      <c r="G46" s="389"/>
      <c r="H46" s="390"/>
      <c r="I46" s="315"/>
      <c r="J46" s="359"/>
      <c r="K46" s="359"/>
      <c r="L46" s="359"/>
      <c r="M46" s="359"/>
      <c r="N46" s="359"/>
      <c r="O46" s="359"/>
      <c r="P46" s="359"/>
      <c r="Q46" s="359"/>
      <c r="R46" s="359"/>
      <c r="S46" s="359"/>
      <c r="T46" s="359"/>
      <c r="U46" s="359"/>
      <c r="V46" s="359"/>
      <c r="W46" s="359"/>
      <c r="X46" s="359"/>
      <c r="Y46" s="359"/>
      <c r="Z46" s="359"/>
      <c r="AA46" s="359"/>
      <c r="AB46" s="232"/>
      <c r="AC46" s="291"/>
    </row>
    <row r="47" spans="1:34" ht="22.5" customHeight="1" x14ac:dyDescent="0.2">
      <c r="A47" s="255"/>
      <c r="B47" s="266" t="s">
        <v>44</v>
      </c>
      <c r="C47" s="267"/>
      <c r="D47" s="267"/>
      <c r="E47" s="267"/>
      <c r="F47" s="439"/>
      <c r="G47" s="440"/>
      <c r="H47" s="441"/>
      <c r="J47" s="433" t="s">
        <v>694</v>
      </c>
      <c r="K47" s="434"/>
      <c r="L47" s="434"/>
      <c r="M47" s="434"/>
      <c r="N47" s="434"/>
      <c r="O47" s="434"/>
      <c r="P47" s="434"/>
      <c r="Q47" s="434"/>
      <c r="R47" s="434"/>
      <c r="S47" s="434"/>
      <c r="T47" s="434"/>
      <c r="U47" s="434"/>
      <c r="V47" s="434"/>
      <c r="W47" s="434"/>
      <c r="X47" s="434"/>
      <c r="Y47" s="434"/>
      <c r="Z47" s="434"/>
      <c r="AA47" s="434"/>
      <c r="AB47" s="435"/>
    </row>
    <row r="48" spans="1:34" ht="21.75" customHeight="1" x14ac:dyDescent="0.2">
      <c r="A48" s="255"/>
      <c r="B48" s="530" t="s">
        <v>833</v>
      </c>
      <c r="C48" s="531"/>
      <c r="D48" s="531"/>
      <c r="E48" s="532"/>
      <c r="F48" s="439"/>
      <c r="G48" s="440"/>
      <c r="H48" s="441"/>
      <c r="I48" s="203"/>
      <c r="J48" s="436"/>
      <c r="K48" s="437"/>
      <c r="L48" s="437"/>
      <c r="M48" s="437"/>
      <c r="N48" s="437"/>
      <c r="O48" s="437"/>
      <c r="P48" s="437"/>
      <c r="Q48" s="437"/>
      <c r="R48" s="437"/>
      <c r="S48" s="437"/>
      <c r="T48" s="437"/>
      <c r="U48" s="437"/>
      <c r="V48" s="437"/>
      <c r="W48" s="437"/>
      <c r="X48" s="437"/>
      <c r="Y48" s="437"/>
      <c r="Z48" s="437"/>
      <c r="AA48" s="437"/>
      <c r="AB48" s="438"/>
    </row>
    <row r="49" spans="1:45" ht="15" customHeight="1" x14ac:dyDescent="0.2">
      <c r="A49" s="255"/>
      <c r="B49" s="442"/>
      <c r="C49" s="443"/>
      <c r="D49" s="443"/>
      <c r="E49" s="443"/>
      <c r="F49" s="537"/>
      <c r="G49" s="537"/>
      <c r="H49" s="537"/>
      <c r="I49" s="203"/>
      <c r="J49" s="426"/>
      <c r="K49" s="427"/>
      <c r="L49" s="427"/>
      <c r="M49" s="427"/>
      <c r="N49" s="427"/>
      <c r="O49" s="427"/>
      <c r="P49" s="427"/>
      <c r="Q49" s="427"/>
      <c r="R49" s="427"/>
      <c r="S49" s="427"/>
      <c r="T49" s="427"/>
      <c r="U49" s="427"/>
      <c r="V49" s="427"/>
      <c r="W49" s="427"/>
      <c r="X49" s="427"/>
      <c r="Y49" s="427"/>
      <c r="Z49" s="427"/>
      <c r="AA49" s="427"/>
      <c r="AB49" s="428"/>
    </row>
    <row r="50" spans="1:45" ht="16.5" customHeight="1" x14ac:dyDescent="0.2">
      <c r="A50" s="255"/>
      <c r="B50" s="424"/>
      <c r="C50" s="425"/>
      <c r="D50" s="425"/>
      <c r="E50" s="425"/>
      <c r="F50" s="529"/>
      <c r="G50" s="529"/>
      <c r="H50" s="529"/>
      <c r="I50" s="203"/>
      <c r="J50" s="429"/>
      <c r="K50" s="427"/>
      <c r="L50" s="427"/>
      <c r="M50" s="427"/>
      <c r="N50" s="427"/>
      <c r="O50" s="427"/>
      <c r="P50" s="427"/>
      <c r="Q50" s="427"/>
      <c r="R50" s="427"/>
      <c r="S50" s="427"/>
      <c r="T50" s="427"/>
      <c r="U50" s="427"/>
      <c r="V50" s="427"/>
      <c r="W50" s="427"/>
      <c r="X50" s="427"/>
      <c r="Y50" s="427"/>
      <c r="Z50" s="427"/>
      <c r="AA50" s="427"/>
      <c r="AB50" s="428"/>
      <c r="AF50" s="244"/>
    </row>
    <row r="51" spans="1:45" ht="15" customHeight="1" x14ac:dyDescent="0.2">
      <c r="A51" s="255"/>
      <c r="B51" s="528"/>
      <c r="C51" s="425"/>
      <c r="D51" s="425"/>
      <c r="E51" s="425"/>
      <c r="F51" s="529"/>
      <c r="G51" s="529"/>
      <c r="H51" s="529"/>
      <c r="I51" s="203"/>
      <c r="J51" s="429"/>
      <c r="K51" s="427"/>
      <c r="L51" s="427"/>
      <c r="M51" s="427"/>
      <c r="N51" s="427"/>
      <c r="O51" s="427"/>
      <c r="P51" s="427"/>
      <c r="Q51" s="427"/>
      <c r="R51" s="427"/>
      <c r="S51" s="427"/>
      <c r="T51" s="427"/>
      <c r="U51" s="427"/>
      <c r="V51" s="427"/>
      <c r="W51" s="427"/>
      <c r="X51" s="427"/>
      <c r="Y51" s="427"/>
      <c r="Z51" s="427"/>
      <c r="AA51" s="427"/>
      <c r="AB51" s="428"/>
      <c r="AF51" s="244"/>
    </row>
    <row r="52" spans="1:45" ht="14.25" customHeight="1" x14ac:dyDescent="0.25">
      <c r="A52" s="255"/>
      <c r="B52" s="598" t="s">
        <v>806</v>
      </c>
      <c r="C52" s="599"/>
      <c r="D52" s="599"/>
      <c r="E52" s="599"/>
      <c r="F52" s="600"/>
      <c r="G52" s="600"/>
      <c r="H52" s="600"/>
      <c r="I52" s="601"/>
      <c r="J52" s="429"/>
      <c r="K52" s="427"/>
      <c r="L52" s="427"/>
      <c r="M52" s="427"/>
      <c r="N52" s="427"/>
      <c r="O52" s="427"/>
      <c r="P52" s="427"/>
      <c r="Q52" s="427"/>
      <c r="R52" s="427"/>
      <c r="S52" s="427"/>
      <c r="T52" s="427"/>
      <c r="U52" s="427"/>
      <c r="V52" s="427"/>
      <c r="W52" s="427"/>
      <c r="X52" s="427"/>
      <c r="Y52" s="427"/>
      <c r="Z52" s="427"/>
      <c r="AA52" s="427"/>
      <c r="AB52" s="428"/>
    </row>
    <row r="53" spans="1:45" ht="14.25" customHeight="1" x14ac:dyDescent="0.2">
      <c r="A53" s="255"/>
      <c r="B53" s="420" t="s">
        <v>693</v>
      </c>
      <c r="C53" s="420"/>
      <c r="D53" s="420"/>
      <c r="E53" s="420"/>
      <c r="F53" s="597"/>
      <c r="G53" s="597"/>
      <c r="H53" s="597"/>
      <c r="I53" s="268"/>
      <c r="J53" s="430"/>
      <c r="K53" s="431"/>
      <c r="L53" s="431"/>
      <c r="M53" s="431"/>
      <c r="N53" s="431"/>
      <c r="O53" s="431"/>
      <c r="P53" s="431"/>
      <c r="Q53" s="431"/>
      <c r="R53" s="431"/>
      <c r="S53" s="431"/>
      <c r="T53" s="431"/>
      <c r="U53" s="431"/>
      <c r="V53" s="431"/>
      <c r="W53" s="431"/>
      <c r="X53" s="431"/>
      <c r="Y53" s="431"/>
      <c r="Z53" s="431"/>
      <c r="AA53" s="431"/>
      <c r="AB53" s="432"/>
    </row>
    <row r="54" spans="1:45" ht="13.5" customHeight="1" x14ac:dyDescent="0.2">
      <c r="A54" s="360"/>
      <c r="B54" s="330"/>
      <c r="C54" s="361"/>
      <c r="D54" s="361"/>
      <c r="E54" s="361"/>
      <c r="F54" s="361"/>
      <c r="G54" s="361"/>
      <c r="H54" s="361"/>
      <c r="I54" s="362"/>
      <c r="J54" s="361"/>
      <c r="K54" s="363"/>
      <c r="L54" s="361"/>
      <c r="M54" s="361"/>
      <c r="N54" s="364"/>
      <c r="O54" s="361"/>
      <c r="P54" s="361"/>
      <c r="Q54" s="363"/>
      <c r="R54" s="361"/>
      <c r="S54" s="361"/>
      <c r="T54" s="330"/>
      <c r="U54" s="330"/>
      <c r="V54" s="330"/>
      <c r="W54" s="364"/>
      <c r="X54" s="364"/>
      <c r="Y54" s="364"/>
      <c r="Z54" s="361"/>
      <c r="AA54" s="361"/>
      <c r="AB54" s="330"/>
      <c r="AC54" s="330"/>
    </row>
    <row r="55" spans="1:45" ht="15" customHeight="1" x14ac:dyDescent="0.2">
      <c r="A55" s="255"/>
      <c r="B55" s="291"/>
      <c r="C55" s="307"/>
      <c r="D55" s="307"/>
      <c r="E55" s="307"/>
      <c r="F55" s="307"/>
      <c r="G55" s="307"/>
      <c r="H55" s="307"/>
      <c r="I55" s="308"/>
      <c r="J55" s="307"/>
      <c r="K55" s="299"/>
      <c r="L55" s="307"/>
      <c r="M55" s="307"/>
      <c r="N55" s="292"/>
      <c r="O55" s="307"/>
      <c r="P55" s="307"/>
      <c r="Q55" s="299"/>
      <c r="R55" s="307"/>
      <c r="S55" s="307"/>
      <c r="T55" s="291"/>
      <c r="U55" s="291"/>
      <c r="V55" s="291"/>
      <c r="W55" s="292"/>
      <c r="X55" s="292"/>
      <c r="Y55" s="292"/>
      <c r="Z55" s="307"/>
      <c r="AA55" s="307"/>
      <c r="AB55" s="291"/>
    </row>
    <row r="56" spans="1:45" s="235" customFormat="1" ht="15" customHeight="1" x14ac:dyDescent="0.2">
      <c r="A56" s="332" t="s">
        <v>215</v>
      </c>
      <c r="B56" s="387" t="s">
        <v>96</v>
      </c>
      <c r="C56" s="387"/>
      <c r="D56" s="387"/>
      <c r="E56" s="387"/>
      <c r="F56" s="387"/>
      <c r="G56" s="387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322"/>
      <c r="AL56" s="269"/>
      <c r="AM56" s="238"/>
      <c r="AS56" s="270"/>
    </row>
    <row r="57" spans="1:45" ht="14.25" customHeight="1" x14ac:dyDescent="0.2">
      <c r="A57" s="333"/>
      <c r="B57" s="301"/>
      <c r="C57" s="208"/>
      <c r="D57" s="208"/>
      <c r="E57" s="605" t="s">
        <v>76</v>
      </c>
      <c r="F57" s="605"/>
      <c r="G57" s="605"/>
      <c r="H57" s="605"/>
      <c r="I57" s="605"/>
      <c r="J57" s="605"/>
      <c r="K57" s="605"/>
      <c r="L57" s="606"/>
      <c r="M57" s="421" t="s">
        <v>75</v>
      </c>
      <c r="N57" s="422"/>
      <c r="O57" s="423"/>
      <c r="P57" s="609" t="s">
        <v>858</v>
      </c>
      <c r="Q57" s="610"/>
      <c r="R57" s="611"/>
      <c r="S57" s="612" t="s">
        <v>910</v>
      </c>
      <c r="T57" s="613"/>
      <c r="U57" s="614"/>
      <c r="V57" s="334"/>
      <c r="W57" s="418" t="s">
        <v>931</v>
      </c>
      <c r="X57" s="419"/>
      <c r="Y57" s="419"/>
      <c r="Z57" s="419"/>
      <c r="AA57" s="419"/>
      <c r="AB57" s="419"/>
      <c r="AC57" s="232"/>
      <c r="AL57" s="271"/>
      <c r="AM57" s="238"/>
      <c r="AS57" s="272"/>
    </row>
    <row r="58" spans="1:45" ht="21.75" customHeight="1" x14ac:dyDescent="0.2">
      <c r="A58" s="333"/>
      <c r="B58" s="302"/>
      <c r="C58" s="315"/>
      <c r="D58" s="315"/>
      <c r="E58" s="607"/>
      <c r="F58" s="607"/>
      <c r="G58" s="607"/>
      <c r="H58" s="607"/>
      <c r="I58" s="607"/>
      <c r="J58" s="607"/>
      <c r="K58" s="607"/>
      <c r="L58" s="608"/>
      <c r="M58" s="602">
        <f>SUM(M59:O68)</f>
        <v>0</v>
      </c>
      <c r="N58" s="603"/>
      <c r="O58" s="604"/>
      <c r="P58" s="602">
        <f>SUM(P59:R68)</f>
        <v>0</v>
      </c>
      <c r="Q58" s="603"/>
      <c r="R58" s="604"/>
      <c r="S58" s="602">
        <f>SUM(S59:U68)</f>
        <v>0</v>
      </c>
      <c r="T58" s="603"/>
      <c r="U58" s="604"/>
      <c r="V58" s="335"/>
      <c r="W58" s="419"/>
      <c r="X58" s="419"/>
      <c r="Y58" s="419"/>
      <c r="Z58" s="419"/>
      <c r="AA58" s="419"/>
      <c r="AB58" s="419"/>
      <c r="AC58" s="323" t="s">
        <v>935</v>
      </c>
      <c r="AK58" s="271"/>
      <c r="AL58" s="238"/>
      <c r="AR58" s="272"/>
    </row>
    <row r="59" spans="1:45" ht="24.75" customHeight="1" x14ac:dyDescent="0.2">
      <c r="A59" s="336"/>
      <c r="B59" s="417" t="s">
        <v>802</v>
      </c>
      <c r="C59" s="417"/>
      <c r="D59" s="417"/>
      <c r="E59" s="394" t="s">
        <v>790</v>
      </c>
      <c r="F59" s="395"/>
      <c r="G59" s="395"/>
      <c r="H59" s="395"/>
      <c r="I59" s="395"/>
      <c r="J59" s="395"/>
      <c r="K59" s="395"/>
      <c r="L59" s="396"/>
      <c r="M59" s="391">
        <f t="shared" ref="M59:M67" si="0">SUM(P59:U59)</f>
        <v>0</v>
      </c>
      <c r="N59" s="392"/>
      <c r="O59" s="393"/>
      <c r="P59" s="397"/>
      <c r="Q59" s="398"/>
      <c r="R59" s="399"/>
      <c r="S59" s="397"/>
      <c r="T59" s="398"/>
      <c r="U59" s="399"/>
      <c r="V59" s="337"/>
      <c r="W59" s="629" t="s">
        <v>932</v>
      </c>
      <c r="X59" s="630"/>
      <c r="Y59" s="630"/>
      <c r="Z59" s="619"/>
      <c r="AA59" s="619"/>
      <c r="AB59" s="619"/>
      <c r="AC59" s="232"/>
      <c r="AE59" s="244"/>
      <c r="AK59" s="271"/>
      <c r="AL59" s="238"/>
      <c r="AR59" s="272"/>
    </row>
    <row r="60" spans="1:45" ht="22.9" customHeight="1" x14ac:dyDescent="0.2">
      <c r="A60" s="336"/>
      <c r="B60" s="411" t="s">
        <v>337</v>
      </c>
      <c r="C60" s="412"/>
      <c r="D60" s="413"/>
      <c r="E60" s="394" t="s">
        <v>695</v>
      </c>
      <c r="F60" s="395"/>
      <c r="G60" s="395"/>
      <c r="H60" s="395"/>
      <c r="I60" s="395"/>
      <c r="J60" s="395"/>
      <c r="K60" s="395"/>
      <c r="L60" s="396"/>
      <c r="M60" s="391">
        <f t="shared" si="0"/>
        <v>0</v>
      </c>
      <c r="N60" s="392"/>
      <c r="O60" s="393"/>
      <c r="P60" s="397"/>
      <c r="Q60" s="398"/>
      <c r="R60" s="399"/>
      <c r="S60" s="397"/>
      <c r="T60" s="398"/>
      <c r="U60" s="399"/>
      <c r="V60" s="337"/>
      <c r="W60" s="406" t="s">
        <v>933</v>
      </c>
      <c r="X60" s="407"/>
      <c r="Y60" s="407"/>
      <c r="Z60" s="806"/>
      <c r="AA60" s="806"/>
      <c r="AB60" s="806"/>
      <c r="AC60" s="232"/>
      <c r="AE60" s="244"/>
      <c r="AK60" s="271"/>
      <c r="AL60" s="238"/>
      <c r="AR60" s="272"/>
    </row>
    <row r="61" spans="1:45" ht="22.9" customHeight="1" x14ac:dyDescent="0.2">
      <c r="A61" s="336"/>
      <c r="B61" s="411"/>
      <c r="C61" s="412"/>
      <c r="D61" s="413"/>
      <c r="E61" s="394" t="s">
        <v>745</v>
      </c>
      <c r="F61" s="395"/>
      <c r="G61" s="395"/>
      <c r="H61" s="395"/>
      <c r="I61" s="395"/>
      <c r="J61" s="395"/>
      <c r="K61" s="395"/>
      <c r="L61" s="396"/>
      <c r="M61" s="391">
        <f t="shared" si="0"/>
        <v>0</v>
      </c>
      <c r="N61" s="392"/>
      <c r="O61" s="393"/>
      <c r="P61" s="397"/>
      <c r="Q61" s="398"/>
      <c r="R61" s="399"/>
      <c r="S61" s="397"/>
      <c r="T61" s="398"/>
      <c r="U61" s="399"/>
      <c r="V61" s="337"/>
      <c r="W61" s="406" t="s">
        <v>941</v>
      </c>
      <c r="X61" s="406"/>
      <c r="Y61" s="406"/>
      <c r="Z61" s="806"/>
      <c r="AA61" s="806"/>
      <c r="AB61" s="806"/>
      <c r="AC61" s="232"/>
      <c r="AE61" s="244"/>
      <c r="AK61" s="271"/>
      <c r="AL61" s="238"/>
      <c r="AR61" s="272"/>
    </row>
    <row r="62" spans="1:45" ht="27" customHeight="1" x14ac:dyDescent="0.2">
      <c r="A62" s="338"/>
      <c r="B62" s="414"/>
      <c r="C62" s="415"/>
      <c r="D62" s="416"/>
      <c r="E62" s="623" t="s">
        <v>199</v>
      </c>
      <c r="F62" s="624"/>
      <c r="G62" s="624"/>
      <c r="H62" s="624"/>
      <c r="I62" s="624"/>
      <c r="J62" s="624"/>
      <c r="K62" s="624"/>
      <c r="L62" s="625"/>
      <c r="M62" s="391">
        <f t="shared" si="0"/>
        <v>0</v>
      </c>
      <c r="N62" s="392"/>
      <c r="O62" s="393"/>
      <c r="P62" s="397"/>
      <c r="Q62" s="398"/>
      <c r="R62" s="399"/>
      <c r="S62" s="397"/>
      <c r="T62" s="398"/>
      <c r="U62" s="399"/>
      <c r="V62" s="337"/>
      <c r="W62" s="406"/>
      <c r="X62" s="406"/>
      <c r="Y62" s="406"/>
      <c r="Z62" s="806"/>
      <c r="AA62" s="806"/>
      <c r="AB62" s="806"/>
      <c r="AC62" s="232"/>
      <c r="AK62" s="271"/>
      <c r="AL62" s="238"/>
      <c r="AR62" s="272"/>
    </row>
    <row r="63" spans="1:45" ht="25.5" customHeight="1" x14ac:dyDescent="0.2">
      <c r="A63" s="336"/>
      <c r="B63" s="477" t="s">
        <v>746</v>
      </c>
      <c r="C63" s="478"/>
      <c r="D63" s="479"/>
      <c r="E63" s="623" t="s">
        <v>200</v>
      </c>
      <c r="F63" s="624"/>
      <c r="G63" s="624"/>
      <c r="H63" s="624"/>
      <c r="I63" s="624"/>
      <c r="J63" s="624"/>
      <c r="K63" s="624"/>
      <c r="L63" s="625"/>
      <c r="M63" s="391">
        <f t="shared" si="0"/>
        <v>0</v>
      </c>
      <c r="N63" s="392"/>
      <c r="O63" s="393"/>
      <c r="P63" s="397"/>
      <c r="Q63" s="398"/>
      <c r="R63" s="399"/>
      <c r="S63" s="397"/>
      <c r="T63" s="398"/>
      <c r="U63" s="399"/>
      <c r="V63" s="337"/>
      <c r="W63" s="631" t="s">
        <v>934</v>
      </c>
      <c r="X63" s="596"/>
      <c r="Y63" s="596"/>
      <c r="Z63" s="595">
        <f>SUM(Z59:AB62)</f>
        <v>0</v>
      </c>
      <c r="AA63" s="596"/>
      <c r="AB63" s="596"/>
      <c r="AC63" s="232"/>
      <c r="AK63" s="271"/>
      <c r="AL63" s="238"/>
      <c r="AR63" s="272"/>
    </row>
    <row r="64" spans="1:45" ht="22.9" customHeight="1" x14ac:dyDescent="0.2">
      <c r="A64" s="336"/>
      <c r="B64" s="411"/>
      <c r="C64" s="412"/>
      <c r="D64" s="413"/>
      <c r="E64" s="394" t="s">
        <v>747</v>
      </c>
      <c r="F64" s="395"/>
      <c r="G64" s="395"/>
      <c r="H64" s="395"/>
      <c r="I64" s="395"/>
      <c r="J64" s="395"/>
      <c r="K64" s="395"/>
      <c r="L64" s="396"/>
      <c r="M64" s="391">
        <f t="shared" si="0"/>
        <v>0</v>
      </c>
      <c r="N64" s="392"/>
      <c r="O64" s="393"/>
      <c r="P64" s="397"/>
      <c r="Q64" s="398"/>
      <c r="R64" s="399"/>
      <c r="S64" s="397"/>
      <c r="T64" s="398"/>
      <c r="U64" s="399"/>
      <c r="V64" s="337"/>
      <c r="W64" s="303"/>
      <c r="X64" s="303"/>
      <c r="Y64" s="303"/>
      <c r="Z64" s="303"/>
      <c r="AA64" s="303"/>
      <c r="AB64" s="303"/>
      <c r="AC64" s="232"/>
      <c r="AK64" s="271"/>
      <c r="AL64" s="238"/>
      <c r="AR64" s="272"/>
    </row>
    <row r="65" spans="1:45" ht="22.9" customHeight="1" x14ac:dyDescent="0.2">
      <c r="A65" s="336"/>
      <c r="B65" s="414"/>
      <c r="C65" s="415"/>
      <c r="D65" s="416"/>
      <c r="E65" s="480" t="s">
        <v>696</v>
      </c>
      <c r="F65" s="481"/>
      <c r="G65" s="481"/>
      <c r="H65" s="481"/>
      <c r="I65" s="481"/>
      <c r="J65" s="481"/>
      <c r="K65" s="481"/>
      <c r="L65" s="482"/>
      <c r="M65" s="391">
        <f t="shared" si="0"/>
        <v>0</v>
      </c>
      <c r="N65" s="392"/>
      <c r="O65" s="393"/>
      <c r="P65" s="397"/>
      <c r="Q65" s="398"/>
      <c r="R65" s="399"/>
      <c r="S65" s="397"/>
      <c r="T65" s="398"/>
      <c r="U65" s="399"/>
      <c r="V65" s="337"/>
      <c r="W65" s="303"/>
      <c r="X65" s="303"/>
      <c r="Y65" s="303"/>
      <c r="Z65" s="303"/>
      <c r="AA65" s="303"/>
      <c r="AB65" s="303"/>
      <c r="AC65" s="232"/>
      <c r="AK65" s="271"/>
      <c r="AL65" s="238"/>
      <c r="AR65" s="272"/>
    </row>
    <row r="66" spans="1:45" ht="22.9" customHeight="1" x14ac:dyDescent="0.2">
      <c r="A66" s="336"/>
      <c r="B66" s="477" t="s">
        <v>749</v>
      </c>
      <c r="C66" s="489"/>
      <c r="D66" s="490"/>
      <c r="E66" s="626" t="s">
        <v>201</v>
      </c>
      <c r="F66" s="627"/>
      <c r="G66" s="627"/>
      <c r="H66" s="627"/>
      <c r="I66" s="627"/>
      <c r="J66" s="627"/>
      <c r="K66" s="627"/>
      <c r="L66" s="628"/>
      <c r="M66" s="391">
        <f t="shared" si="0"/>
        <v>0</v>
      </c>
      <c r="N66" s="392"/>
      <c r="O66" s="393"/>
      <c r="P66" s="397"/>
      <c r="Q66" s="398"/>
      <c r="R66" s="399"/>
      <c r="S66" s="397"/>
      <c r="T66" s="398"/>
      <c r="U66" s="399"/>
      <c r="V66" s="337"/>
      <c r="W66" s="303"/>
      <c r="X66" s="303"/>
      <c r="Y66" s="303"/>
      <c r="Z66" s="303"/>
      <c r="AA66" s="303"/>
      <c r="AB66" s="303"/>
      <c r="AC66" s="232"/>
      <c r="AK66" s="271"/>
      <c r="AL66" s="238"/>
      <c r="AR66" s="272"/>
    </row>
    <row r="67" spans="1:45" ht="22.9" customHeight="1" x14ac:dyDescent="0.2">
      <c r="A67" s="336"/>
      <c r="B67" s="491"/>
      <c r="C67" s="492"/>
      <c r="D67" s="493"/>
      <c r="E67" s="620" t="s">
        <v>750</v>
      </c>
      <c r="F67" s="621"/>
      <c r="G67" s="621"/>
      <c r="H67" s="621"/>
      <c r="I67" s="621"/>
      <c r="J67" s="621"/>
      <c r="K67" s="621"/>
      <c r="L67" s="622"/>
      <c r="M67" s="391">
        <f t="shared" si="0"/>
        <v>0</v>
      </c>
      <c r="N67" s="392"/>
      <c r="O67" s="393"/>
      <c r="P67" s="397"/>
      <c r="Q67" s="398"/>
      <c r="R67" s="399"/>
      <c r="S67" s="397"/>
      <c r="T67" s="398"/>
      <c r="U67" s="399"/>
      <c r="V67" s="337"/>
      <c r="W67" s="303"/>
      <c r="X67" s="303"/>
      <c r="Y67" s="303"/>
      <c r="Z67" s="303"/>
      <c r="AA67" s="303"/>
      <c r="AB67" s="303"/>
      <c r="AC67" s="232"/>
      <c r="AE67" s="244"/>
      <c r="AK67" s="271"/>
      <c r="AL67" s="238"/>
      <c r="AR67" s="272"/>
    </row>
    <row r="68" spans="1:45" ht="22.9" customHeight="1" x14ac:dyDescent="0.2">
      <c r="A68" s="336"/>
      <c r="B68" s="494"/>
      <c r="C68" s="495"/>
      <c r="D68" s="496"/>
      <c r="E68" s="394" t="s">
        <v>748</v>
      </c>
      <c r="F68" s="395"/>
      <c r="G68" s="395"/>
      <c r="H68" s="395"/>
      <c r="I68" s="395"/>
      <c r="J68" s="395"/>
      <c r="K68" s="395"/>
      <c r="L68" s="396"/>
      <c r="M68" s="391">
        <f>SUM(P68:AA68)</f>
        <v>0</v>
      </c>
      <c r="N68" s="392"/>
      <c r="O68" s="393"/>
      <c r="P68" s="397"/>
      <c r="Q68" s="398"/>
      <c r="R68" s="399"/>
      <c r="S68" s="397"/>
      <c r="T68" s="398"/>
      <c r="U68" s="399"/>
      <c r="V68" s="337"/>
      <c r="W68" s="303"/>
      <c r="X68" s="303"/>
      <c r="Y68" s="303"/>
      <c r="Z68" s="303"/>
      <c r="AA68" s="303"/>
      <c r="AB68" s="303"/>
      <c r="AC68" s="232"/>
      <c r="AE68" s="244"/>
      <c r="AK68" s="271"/>
      <c r="AL68" s="238"/>
      <c r="AR68" s="272"/>
    </row>
    <row r="69" spans="1:45" ht="17.25" customHeight="1" x14ac:dyDescent="0.2">
      <c r="A69" s="333"/>
      <c r="B69" s="379" t="s">
        <v>697</v>
      </c>
      <c r="C69" s="379"/>
      <c r="D69" s="379"/>
      <c r="E69" s="379"/>
      <c r="F69" s="379"/>
      <c r="G69" s="379"/>
      <c r="H69" s="379"/>
      <c r="I69" s="379"/>
      <c r="J69" s="379"/>
      <c r="K69" s="379"/>
      <c r="L69" s="379"/>
      <c r="M69" s="379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  <c r="Z69" s="408"/>
      <c r="AA69" s="408"/>
      <c r="AB69" s="315"/>
      <c r="AC69" s="232"/>
      <c r="AL69" s="271"/>
      <c r="AM69" s="238"/>
      <c r="AS69" s="272"/>
    </row>
    <row r="70" spans="1:45" ht="23.25" customHeight="1" x14ac:dyDescent="0.2">
      <c r="A70" s="333"/>
      <c r="B70" s="444" t="s">
        <v>677</v>
      </c>
      <c r="C70" s="445"/>
      <c r="D70" s="445"/>
      <c r="E70" s="445"/>
      <c r="F70" s="445"/>
      <c r="G70" s="445"/>
      <c r="H70" s="445"/>
      <c r="I70" s="445"/>
      <c r="J70" s="445"/>
      <c r="K70" s="446"/>
      <c r="L70" s="447">
        <f>SUM(kostges-M65)</f>
        <v>0</v>
      </c>
      <c r="M70" s="448"/>
      <c r="N70" s="449"/>
      <c r="O70" s="450">
        <v>1</v>
      </c>
      <c r="P70" s="451"/>
      <c r="Q70" s="452"/>
      <c r="R70" s="339"/>
      <c r="S70" s="339"/>
      <c r="T70" s="339"/>
      <c r="U70" s="476"/>
      <c r="V70" s="476"/>
      <c r="W70" s="476"/>
      <c r="X70" s="476"/>
      <c r="Y70" s="339"/>
      <c r="Z70" s="340"/>
      <c r="AA70" s="340"/>
      <c r="AB70" s="315"/>
      <c r="AC70" s="323"/>
      <c r="AL70" s="271"/>
      <c r="AM70" s="238"/>
      <c r="AS70" s="272"/>
    </row>
    <row r="71" spans="1:45" ht="14.25" customHeight="1" x14ac:dyDescent="0.2">
      <c r="A71" s="333"/>
      <c r="B71" s="483" t="s">
        <v>676</v>
      </c>
      <c r="C71" s="484"/>
      <c r="D71" s="484"/>
      <c r="E71" s="484"/>
      <c r="F71" s="484"/>
      <c r="G71" s="484"/>
      <c r="H71" s="484"/>
      <c r="I71" s="484"/>
      <c r="J71" s="484"/>
      <c r="K71" s="485"/>
      <c r="L71" s="447">
        <f>SUM(kostges-mastdges-entgeltTNges)</f>
        <v>0</v>
      </c>
      <c r="M71" s="448"/>
      <c r="N71" s="449"/>
      <c r="O71" s="450" t="str">
        <f>IF(L70=0,"",SUM(aktivkofi)/L70)</f>
        <v/>
      </c>
      <c r="P71" s="451"/>
      <c r="Q71" s="452"/>
      <c r="R71" s="289"/>
      <c r="S71" s="289"/>
      <c r="T71" s="289"/>
      <c r="U71" s="455"/>
      <c r="V71" s="456"/>
      <c r="W71" s="486"/>
      <c r="X71" s="487"/>
      <c r="Y71" s="289"/>
      <c r="Z71" s="340"/>
      <c r="AA71" s="340"/>
      <c r="AB71" s="341"/>
      <c r="AC71" s="232"/>
      <c r="AL71" s="271"/>
      <c r="AM71" s="238"/>
      <c r="AS71" s="272"/>
    </row>
    <row r="72" spans="1:45" ht="11.25" customHeight="1" x14ac:dyDescent="0.2">
      <c r="A72" s="333"/>
      <c r="B72" s="342">
        <f>SUM(M65:O68)</f>
        <v>0</v>
      </c>
      <c r="C72" s="342"/>
      <c r="D72" s="342"/>
      <c r="E72" s="342"/>
      <c r="F72" s="342"/>
      <c r="G72" s="342"/>
      <c r="H72" s="342"/>
      <c r="I72" s="342"/>
      <c r="J72" s="342"/>
      <c r="K72" s="342"/>
      <c r="L72" s="342"/>
      <c r="M72" s="342"/>
      <c r="N72" s="342"/>
      <c r="O72" s="342"/>
      <c r="P72" s="342"/>
      <c r="Q72" s="342"/>
      <c r="R72" s="342"/>
      <c r="S72" s="342"/>
      <c r="T72" s="342"/>
      <c r="U72" s="457"/>
      <c r="V72" s="457"/>
      <c r="W72" s="488"/>
      <c r="X72" s="488"/>
      <c r="Y72" s="342"/>
      <c r="Z72" s="342"/>
      <c r="AA72" s="342"/>
      <c r="AB72" s="341"/>
      <c r="AC72" s="232"/>
      <c r="AL72" s="271"/>
      <c r="AM72" s="238"/>
      <c r="AS72" s="272"/>
    </row>
    <row r="73" spans="1:45" ht="25.9" customHeight="1" x14ac:dyDescent="0.2">
      <c r="A73" s="460" t="s">
        <v>925</v>
      </c>
      <c r="B73" s="461"/>
      <c r="C73" s="461"/>
      <c r="D73" s="461"/>
      <c r="E73" s="461"/>
      <c r="F73" s="461"/>
      <c r="G73" s="461"/>
      <c r="H73" s="461"/>
      <c r="I73" s="461"/>
      <c r="J73" s="461"/>
      <c r="K73" s="461"/>
      <c r="L73" s="461"/>
      <c r="M73" s="461"/>
      <c r="N73" s="461"/>
      <c r="O73" s="461"/>
      <c r="P73" s="461"/>
      <c r="Q73" s="461"/>
      <c r="R73" s="461"/>
      <c r="S73" s="461"/>
      <c r="T73" s="461"/>
      <c r="U73" s="462"/>
      <c r="V73" s="462"/>
      <c r="W73" s="462"/>
      <c r="X73" s="462"/>
      <c r="Y73" s="461"/>
      <c r="Z73" s="461"/>
      <c r="AA73" s="461"/>
      <c r="AB73" s="463"/>
      <c r="AC73" s="232"/>
      <c r="AL73" s="271"/>
      <c r="AM73" s="238"/>
      <c r="AS73" s="272"/>
    </row>
    <row r="74" spans="1:45" ht="21" customHeight="1" x14ac:dyDescent="0.2">
      <c r="A74" s="467"/>
      <c r="B74" s="468"/>
      <c r="C74" s="468"/>
      <c r="D74" s="468"/>
      <c r="E74" s="468"/>
      <c r="F74" s="468"/>
      <c r="G74" s="468"/>
      <c r="H74" s="468"/>
      <c r="I74" s="468"/>
      <c r="J74" s="468"/>
      <c r="K74" s="468"/>
      <c r="L74" s="468"/>
      <c r="M74" s="468"/>
      <c r="N74" s="468"/>
      <c r="O74" s="468"/>
      <c r="P74" s="468"/>
      <c r="Q74" s="468"/>
      <c r="R74" s="468"/>
      <c r="S74" s="468"/>
      <c r="T74" s="468"/>
      <c r="U74" s="468"/>
      <c r="V74" s="468"/>
      <c r="W74" s="468"/>
      <c r="X74" s="468"/>
      <c r="Y74" s="468"/>
      <c r="Z74" s="468"/>
      <c r="AA74" s="468"/>
      <c r="AB74" s="469"/>
      <c r="AC74" s="232"/>
      <c r="AL74" s="271"/>
      <c r="AM74" s="238"/>
      <c r="AS74" s="272"/>
    </row>
    <row r="75" spans="1:45" ht="11.25" customHeight="1" x14ac:dyDescent="0.2">
      <c r="A75" s="470"/>
      <c r="B75" s="471"/>
      <c r="C75" s="471"/>
      <c r="D75" s="471"/>
      <c r="E75" s="471"/>
      <c r="F75" s="471"/>
      <c r="G75" s="471"/>
      <c r="H75" s="471"/>
      <c r="I75" s="471"/>
      <c r="J75" s="471"/>
      <c r="K75" s="471"/>
      <c r="L75" s="471"/>
      <c r="M75" s="471"/>
      <c r="N75" s="471"/>
      <c r="O75" s="471"/>
      <c r="P75" s="471"/>
      <c r="Q75" s="471"/>
      <c r="R75" s="471"/>
      <c r="S75" s="471"/>
      <c r="T75" s="471"/>
      <c r="U75" s="471"/>
      <c r="V75" s="471"/>
      <c r="W75" s="471"/>
      <c r="X75" s="471"/>
      <c r="Y75" s="471"/>
      <c r="Z75" s="471"/>
      <c r="AA75" s="471"/>
      <c r="AB75" s="472"/>
      <c r="AC75" s="324"/>
      <c r="AL75" s="271"/>
      <c r="AM75" s="238"/>
      <c r="AS75" s="272"/>
    </row>
    <row r="76" spans="1:45" ht="11.25" customHeight="1" x14ac:dyDescent="0.2">
      <c r="A76" s="470"/>
      <c r="B76" s="471"/>
      <c r="C76" s="471"/>
      <c r="D76" s="471"/>
      <c r="E76" s="471"/>
      <c r="F76" s="471"/>
      <c r="G76" s="471"/>
      <c r="H76" s="471"/>
      <c r="I76" s="471"/>
      <c r="J76" s="471"/>
      <c r="K76" s="471"/>
      <c r="L76" s="471"/>
      <c r="M76" s="471"/>
      <c r="N76" s="471"/>
      <c r="O76" s="471"/>
      <c r="P76" s="471"/>
      <c r="Q76" s="471"/>
      <c r="R76" s="471"/>
      <c r="S76" s="471"/>
      <c r="T76" s="471"/>
      <c r="U76" s="471"/>
      <c r="V76" s="471"/>
      <c r="W76" s="471"/>
      <c r="X76" s="471"/>
      <c r="Y76" s="471"/>
      <c r="Z76" s="471"/>
      <c r="AA76" s="471"/>
      <c r="AB76" s="472"/>
      <c r="AC76" s="232"/>
      <c r="AL76" s="271"/>
      <c r="AM76" s="238"/>
      <c r="AS76" s="272"/>
    </row>
    <row r="77" spans="1:45" ht="10.5" customHeight="1" x14ac:dyDescent="0.2">
      <c r="A77" s="470"/>
      <c r="B77" s="471"/>
      <c r="C77" s="471"/>
      <c r="D77" s="471"/>
      <c r="E77" s="471"/>
      <c r="F77" s="471"/>
      <c r="G77" s="471"/>
      <c r="H77" s="471"/>
      <c r="I77" s="471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2"/>
      <c r="AC77" s="232"/>
      <c r="AL77" s="271"/>
      <c r="AM77" s="238"/>
      <c r="AS77" s="272"/>
    </row>
    <row r="78" spans="1:45" ht="11.25" customHeight="1" x14ac:dyDescent="0.2">
      <c r="A78" s="470"/>
      <c r="B78" s="471"/>
      <c r="C78" s="471"/>
      <c r="D78" s="471"/>
      <c r="E78" s="471"/>
      <c r="F78" s="471"/>
      <c r="G78" s="471"/>
      <c r="H78" s="471"/>
      <c r="I78" s="471"/>
      <c r="J78" s="471"/>
      <c r="K78" s="471"/>
      <c r="L78" s="471"/>
      <c r="M78" s="471"/>
      <c r="N78" s="471"/>
      <c r="O78" s="471"/>
      <c r="P78" s="471"/>
      <c r="Q78" s="471"/>
      <c r="R78" s="471"/>
      <c r="S78" s="471"/>
      <c r="T78" s="471"/>
      <c r="U78" s="471"/>
      <c r="V78" s="471"/>
      <c r="W78" s="471"/>
      <c r="X78" s="471"/>
      <c r="Y78" s="471"/>
      <c r="Z78" s="471"/>
      <c r="AA78" s="471"/>
      <c r="AB78" s="472"/>
      <c r="AC78" s="232"/>
      <c r="AL78" s="271"/>
      <c r="AM78" s="238"/>
      <c r="AS78" s="272"/>
    </row>
    <row r="79" spans="1:45" ht="14.25" customHeight="1" x14ac:dyDescent="0.2">
      <c r="A79" s="473"/>
      <c r="B79" s="474"/>
      <c r="C79" s="474"/>
      <c r="D79" s="474"/>
      <c r="E79" s="474"/>
      <c r="F79" s="474"/>
      <c r="G79" s="474"/>
      <c r="H79" s="474"/>
      <c r="I79" s="474"/>
      <c r="J79" s="474"/>
      <c r="K79" s="474"/>
      <c r="L79" s="474"/>
      <c r="M79" s="474"/>
      <c r="N79" s="474"/>
      <c r="O79" s="474"/>
      <c r="P79" s="474"/>
      <c r="Q79" s="474"/>
      <c r="R79" s="474"/>
      <c r="S79" s="474"/>
      <c r="T79" s="474"/>
      <c r="U79" s="474"/>
      <c r="V79" s="474"/>
      <c r="W79" s="474"/>
      <c r="X79" s="474"/>
      <c r="Y79" s="474"/>
      <c r="Z79" s="474"/>
      <c r="AA79" s="474"/>
      <c r="AB79" s="475"/>
      <c r="AC79" s="232"/>
      <c r="AL79" s="271"/>
      <c r="AM79" s="238"/>
      <c r="AS79" s="272"/>
    </row>
    <row r="80" spans="1:45" ht="9.75" customHeight="1" x14ac:dyDescent="0.2">
      <c r="A80" s="458"/>
      <c r="B80" s="459"/>
      <c r="C80" s="459"/>
      <c r="D80" s="459"/>
      <c r="E80" s="459"/>
      <c r="F80" s="459"/>
      <c r="G80" s="459"/>
      <c r="H80" s="459"/>
      <c r="I80" s="466"/>
      <c r="J80" s="466"/>
      <c r="K80" s="466"/>
      <c r="L80" s="466"/>
      <c r="M80" s="464"/>
      <c r="N80" s="464"/>
      <c r="O80" s="464"/>
      <c r="P80" s="464"/>
      <c r="Q80" s="464"/>
      <c r="R80" s="464"/>
      <c r="S80" s="464"/>
      <c r="T80" s="464"/>
      <c r="U80" s="464"/>
      <c r="V80" s="464"/>
      <c r="W80" s="464"/>
      <c r="X80" s="464"/>
      <c r="Y80" s="464"/>
      <c r="Z80" s="464"/>
      <c r="AA80" s="465"/>
      <c r="AB80" s="465"/>
      <c r="AC80" s="232"/>
      <c r="AL80" s="271"/>
      <c r="AM80" s="238"/>
      <c r="AS80" s="272"/>
    </row>
    <row r="81" spans="1:45" x14ac:dyDescent="0.2">
      <c r="A81" s="333"/>
      <c r="B81" s="379" t="s">
        <v>360</v>
      </c>
      <c r="C81" s="454"/>
      <c r="D81" s="454"/>
      <c r="E81" s="454"/>
      <c r="F81" s="454"/>
      <c r="G81" s="454"/>
      <c r="H81" s="454"/>
      <c r="I81" s="454"/>
      <c r="J81" s="454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232"/>
      <c r="AD81" s="198"/>
      <c r="AL81" s="271"/>
      <c r="AM81" s="238"/>
      <c r="AS81" s="272"/>
    </row>
    <row r="82" spans="1:45" ht="5.25" customHeight="1" x14ac:dyDescent="0.2">
      <c r="A82" s="343"/>
      <c r="B82" s="316"/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232"/>
      <c r="AL82" s="271"/>
      <c r="AM82" s="238"/>
      <c r="AS82" s="272"/>
    </row>
    <row r="83" spans="1:45" ht="12.75" customHeight="1" x14ac:dyDescent="0.2">
      <c r="A83" s="333"/>
      <c r="B83" s="377" t="s">
        <v>142</v>
      </c>
      <c r="C83" s="377"/>
      <c r="D83" s="377"/>
      <c r="E83" s="377"/>
      <c r="F83" s="377"/>
      <c r="G83" s="377"/>
      <c r="H83" s="377"/>
      <c r="I83" s="377"/>
      <c r="J83" s="377"/>
      <c r="K83" s="314" t="s">
        <v>361</v>
      </c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454"/>
      <c r="AA83" s="454"/>
      <c r="AB83" s="315"/>
      <c r="AC83" s="232"/>
      <c r="AL83" s="271"/>
      <c r="AM83" s="238"/>
      <c r="AS83" s="272"/>
    </row>
    <row r="84" spans="1:45" ht="12.75" customHeight="1" x14ac:dyDescent="0.2">
      <c r="A84" s="333"/>
      <c r="B84" s="377" t="s">
        <v>937</v>
      </c>
      <c r="C84" s="377"/>
      <c r="D84" s="377"/>
      <c r="E84" s="377"/>
      <c r="F84" s="377"/>
      <c r="G84" s="377"/>
      <c r="H84" s="377"/>
      <c r="I84" s="377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454"/>
      <c r="AA84" s="454"/>
      <c r="AB84" s="315"/>
      <c r="AC84" s="232"/>
      <c r="AL84" s="271"/>
      <c r="AM84" s="238"/>
      <c r="AS84" s="272"/>
    </row>
    <row r="85" spans="1:45" ht="19.5" customHeight="1" x14ac:dyDescent="0.2">
      <c r="A85" s="333"/>
      <c r="B85" s="378" t="s">
        <v>202</v>
      </c>
      <c r="C85" s="377"/>
      <c r="D85" s="377"/>
      <c r="E85" s="377"/>
      <c r="F85" s="377"/>
      <c r="G85" s="377"/>
      <c r="H85" s="316" t="s">
        <v>939</v>
      </c>
      <c r="I85" s="380" t="s">
        <v>940</v>
      </c>
      <c r="J85" s="380"/>
      <c r="K85" s="380"/>
      <c r="L85" s="380"/>
      <c r="M85" s="380"/>
      <c r="N85" s="380"/>
      <c r="O85" s="380"/>
      <c r="P85" s="380"/>
      <c r="Q85" s="379" t="s">
        <v>938</v>
      </c>
      <c r="R85" s="379"/>
      <c r="S85" s="379"/>
      <c r="T85" s="379"/>
      <c r="U85" s="379"/>
      <c r="V85" s="379"/>
      <c r="W85" s="379"/>
      <c r="X85" s="315"/>
      <c r="Y85" s="379"/>
      <c r="Z85" s="379"/>
      <c r="AA85" s="379"/>
      <c r="AB85" s="453"/>
      <c r="AC85" s="232"/>
      <c r="AL85" s="271"/>
      <c r="AM85" s="238"/>
    </row>
    <row r="86" spans="1:45" ht="13.9" customHeight="1" x14ac:dyDescent="0.2">
      <c r="A86" s="248"/>
      <c r="B86" s="618" t="str">
        <f>IF(ZuschussAGges&gt;0,"Zuschuss Unternehmen"," ")</f>
        <v xml:space="preserve"> </v>
      </c>
      <c r="C86" s="618"/>
      <c r="D86" s="618"/>
      <c r="E86" s="618"/>
      <c r="F86" s="618"/>
      <c r="G86" s="618"/>
      <c r="H86" s="506"/>
      <c r="I86" s="506"/>
      <c r="J86" s="506"/>
      <c r="K86" s="506"/>
      <c r="L86" s="506"/>
      <c r="M86" s="506"/>
      <c r="N86" s="506"/>
      <c r="O86" s="506"/>
      <c r="P86" s="311"/>
      <c r="Q86" s="506"/>
      <c r="R86" s="506"/>
      <c r="S86" s="506"/>
      <c r="T86" s="506"/>
      <c r="U86" s="506"/>
      <c r="V86" s="506"/>
      <c r="W86" s="506"/>
      <c r="X86" s="311"/>
      <c r="Y86" s="312"/>
      <c r="Z86" s="312"/>
      <c r="AA86" s="312"/>
      <c r="AB86" s="312"/>
      <c r="AC86" s="325"/>
    </row>
    <row r="87" spans="1:45" s="294" customFormat="1" ht="18.75" customHeight="1" x14ac:dyDescent="0.2">
      <c r="A87" s="248"/>
      <c r="B87" s="369"/>
      <c r="C87" s="370"/>
      <c r="D87" s="370"/>
      <c r="E87" s="370"/>
      <c r="F87" s="370"/>
      <c r="G87" s="370"/>
      <c r="H87" s="371"/>
      <c r="I87" s="372"/>
      <c r="J87" s="372"/>
      <c r="K87" s="372"/>
      <c r="L87" s="372"/>
      <c r="M87" s="372"/>
      <c r="N87" s="372"/>
      <c r="O87" s="372"/>
      <c r="P87" s="372"/>
      <c r="Q87" s="372"/>
      <c r="R87" s="365"/>
      <c r="S87" s="365"/>
      <c r="T87" s="365"/>
      <c r="U87" s="365"/>
      <c r="V87" s="365"/>
      <c r="W87" s="365"/>
      <c r="X87" s="365"/>
      <c r="Y87" s="365"/>
      <c r="Z87" s="312"/>
      <c r="AA87" s="312"/>
      <c r="AB87" s="312"/>
      <c r="AC87" s="325"/>
    </row>
    <row r="88" spans="1:45" s="294" customFormat="1" ht="17.25" customHeight="1" x14ac:dyDescent="0.2">
      <c r="A88" s="248"/>
      <c r="B88" s="372"/>
      <c r="C88" s="372"/>
      <c r="D88" s="372"/>
      <c r="E88" s="372"/>
      <c r="F88" s="372"/>
      <c r="G88" s="372"/>
      <c r="H88" s="372"/>
      <c r="I88" s="369"/>
      <c r="J88" s="370"/>
      <c r="K88" s="370"/>
      <c r="L88" s="370"/>
      <c r="M88" s="370"/>
      <c r="N88" s="370"/>
      <c r="O88" s="370"/>
      <c r="P88" s="370"/>
      <c r="Q88" s="371"/>
      <c r="R88" s="366"/>
      <c r="S88" s="367"/>
      <c r="T88" s="367"/>
      <c r="U88" s="367"/>
      <c r="V88" s="367"/>
      <c r="W88" s="367"/>
      <c r="X88" s="367"/>
      <c r="Y88" s="368"/>
      <c r="Z88" s="312"/>
      <c r="AA88" s="312"/>
      <c r="AB88" s="312"/>
      <c r="AC88" s="325"/>
    </row>
    <row r="89" spans="1:45" s="294" customFormat="1" ht="18" customHeight="1" x14ac:dyDescent="0.2">
      <c r="A89" s="248"/>
      <c r="B89" s="369"/>
      <c r="C89" s="370"/>
      <c r="D89" s="370"/>
      <c r="E89" s="370"/>
      <c r="F89" s="370"/>
      <c r="G89" s="370"/>
      <c r="H89" s="371"/>
      <c r="I89" s="369"/>
      <c r="J89" s="370"/>
      <c r="K89" s="370"/>
      <c r="L89" s="370"/>
      <c r="M89" s="370"/>
      <c r="N89" s="370"/>
      <c r="O89" s="370"/>
      <c r="P89" s="370"/>
      <c r="Q89" s="371"/>
      <c r="R89" s="366"/>
      <c r="S89" s="367"/>
      <c r="T89" s="367"/>
      <c r="U89" s="367"/>
      <c r="V89" s="367"/>
      <c r="W89" s="367"/>
      <c r="X89" s="367"/>
      <c r="Y89" s="368"/>
      <c r="Z89" s="312"/>
      <c r="AA89" s="312"/>
      <c r="AB89" s="312"/>
      <c r="AC89" s="325"/>
    </row>
    <row r="90" spans="1:45" s="294" customFormat="1" ht="18" customHeight="1" x14ac:dyDescent="0.2">
      <c r="A90" s="248"/>
      <c r="B90" s="369"/>
      <c r="C90" s="370"/>
      <c r="D90" s="370"/>
      <c r="E90" s="370"/>
      <c r="F90" s="370"/>
      <c r="G90" s="370"/>
      <c r="H90" s="371"/>
      <c r="I90" s="369"/>
      <c r="J90" s="370"/>
      <c r="K90" s="370"/>
      <c r="L90" s="370"/>
      <c r="M90" s="370"/>
      <c r="N90" s="370"/>
      <c r="O90" s="370"/>
      <c r="P90" s="370"/>
      <c r="Q90" s="371"/>
      <c r="R90" s="365"/>
      <c r="S90" s="365"/>
      <c r="T90" s="365"/>
      <c r="U90" s="365"/>
      <c r="V90" s="365"/>
      <c r="W90" s="365"/>
      <c r="X90" s="365"/>
      <c r="Y90" s="365"/>
      <c r="Z90" s="312"/>
      <c r="AA90" s="312"/>
      <c r="AB90" s="312"/>
      <c r="AC90" s="325"/>
    </row>
    <row r="91" spans="1:45" s="294" customFormat="1" ht="17.25" customHeight="1" x14ac:dyDescent="0.2">
      <c r="A91" s="248"/>
      <c r="B91" s="372"/>
      <c r="C91" s="372"/>
      <c r="D91" s="372"/>
      <c r="E91" s="372"/>
      <c r="F91" s="372"/>
      <c r="G91" s="372"/>
      <c r="H91" s="372"/>
      <c r="I91" s="369"/>
      <c r="J91" s="370"/>
      <c r="K91" s="370"/>
      <c r="L91" s="370"/>
      <c r="M91" s="370"/>
      <c r="N91" s="370"/>
      <c r="O91" s="370"/>
      <c r="P91" s="370"/>
      <c r="Q91" s="371"/>
      <c r="R91" s="366"/>
      <c r="S91" s="367"/>
      <c r="T91" s="367"/>
      <c r="U91" s="367"/>
      <c r="V91" s="367"/>
      <c r="W91" s="367"/>
      <c r="X91" s="367"/>
      <c r="Y91" s="368"/>
      <c r="Z91" s="312"/>
      <c r="AA91" s="312"/>
      <c r="AB91" s="312"/>
      <c r="AC91" s="325"/>
    </row>
    <row r="92" spans="1:45" s="294" customFormat="1" ht="17.25" customHeight="1" x14ac:dyDescent="0.2">
      <c r="A92" s="248"/>
      <c r="B92" s="369"/>
      <c r="C92" s="370"/>
      <c r="D92" s="370"/>
      <c r="E92" s="370"/>
      <c r="F92" s="370"/>
      <c r="G92" s="370"/>
      <c r="H92" s="371"/>
      <c r="I92" s="369"/>
      <c r="J92" s="370"/>
      <c r="K92" s="370"/>
      <c r="L92" s="370"/>
      <c r="M92" s="370"/>
      <c r="N92" s="370"/>
      <c r="O92" s="370"/>
      <c r="P92" s="370"/>
      <c r="Q92" s="371"/>
      <c r="R92" s="365"/>
      <c r="S92" s="365"/>
      <c r="T92" s="365"/>
      <c r="U92" s="365"/>
      <c r="V92" s="365"/>
      <c r="W92" s="365"/>
      <c r="X92" s="365"/>
      <c r="Y92" s="365"/>
      <c r="Z92" s="312"/>
      <c r="AA92" s="312"/>
      <c r="AB92" s="312"/>
      <c r="AC92" s="325"/>
    </row>
    <row r="93" spans="1:45" s="294" customFormat="1" ht="18" customHeight="1" x14ac:dyDescent="0.2">
      <c r="A93" s="248"/>
      <c r="B93" s="369"/>
      <c r="C93" s="370"/>
      <c r="D93" s="370"/>
      <c r="E93" s="370"/>
      <c r="F93" s="370"/>
      <c r="G93" s="370"/>
      <c r="H93" s="371"/>
      <c r="I93" s="369"/>
      <c r="J93" s="370"/>
      <c r="K93" s="370"/>
      <c r="L93" s="370"/>
      <c r="M93" s="370"/>
      <c r="N93" s="370"/>
      <c r="O93" s="370"/>
      <c r="P93" s="370"/>
      <c r="Q93" s="371"/>
      <c r="R93" s="365"/>
      <c r="S93" s="365"/>
      <c r="T93" s="365"/>
      <c r="U93" s="365"/>
      <c r="V93" s="365"/>
      <c r="W93" s="365"/>
      <c r="X93" s="365"/>
      <c r="Y93" s="365"/>
      <c r="Z93" s="312"/>
      <c r="AA93" s="312"/>
      <c r="AB93" s="312"/>
      <c r="AC93" s="325"/>
    </row>
    <row r="94" spans="1:45" ht="12.75" customHeight="1" x14ac:dyDescent="0.2">
      <c r="A94" s="248"/>
      <c r="B94" s="318" t="str">
        <f>IF(spendenges&gt;0,"Spenden"," ")</f>
        <v xml:space="preserve"> </v>
      </c>
      <c r="C94" s="318"/>
      <c r="D94" s="318"/>
      <c r="E94" s="318"/>
      <c r="F94" s="318"/>
      <c r="G94" s="318"/>
      <c r="H94" s="506"/>
      <c r="I94" s="506"/>
      <c r="J94" s="506"/>
      <c r="K94" s="506"/>
      <c r="L94" s="506"/>
      <c r="M94" s="506"/>
      <c r="N94" s="506"/>
      <c r="O94" s="506"/>
      <c r="P94" s="311"/>
      <c r="Q94" s="506"/>
      <c r="R94" s="506"/>
      <c r="S94" s="506"/>
      <c r="T94" s="506"/>
      <c r="U94" s="506"/>
      <c r="V94" s="506"/>
      <c r="W94" s="506"/>
      <c r="X94" s="311"/>
      <c r="Y94" s="617"/>
      <c r="Z94" s="617"/>
      <c r="AA94" s="617"/>
      <c r="AB94" s="617"/>
      <c r="AC94" s="325"/>
    </row>
    <row r="95" spans="1:45" ht="28.5" customHeight="1" x14ac:dyDescent="0.2">
      <c r="A95" s="302"/>
      <c r="B95" s="326"/>
      <c r="C95" s="326"/>
      <c r="D95" s="326"/>
      <c r="E95" s="326"/>
      <c r="F95" s="326"/>
      <c r="G95" s="326"/>
      <c r="H95" s="327"/>
      <c r="I95" s="327"/>
      <c r="J95" s="327"/>
      <c r="K95" s="327"/>
      <c r="L95" s="327"/>
      <c r="M95" s="327"/>
      <c r="N95" s="327"/>
      <c r="O95" s="327"/>
      <c r="P95" s="328"/>
      <c r="Q95" s="327"/>
      <c r="R95" s="327"/>
      <c r="S95" s="327"/>
      <c r="T95" s="327"/>
      <c r="U95" s="327"/>
      <c r="V95" s="327"/>
      <c r="W95" s="327"/>
      <c r="X95" s="328"/>
      <c r="Y95" s="329"/>
      <c r="Z95" s="329"/>
      <c r="AA95" s="329"/>
      <c r="AB95" s="330"/>
      <c r="AC95" s="331"/>
    </row>
    <row r="96" spans="1:45" ht="7.5" customHeight="1" x14ac:dyDescent="0.2">
      <c r="A96" s="197"/>
      <c r="B96" s="126"/>
      <c r="C96" s="126"/>
      <c r="D96" s="126"/>
      <c r="E96" s="126"/>
      <c r="F96" s="126"/>
      <c r="G96" s="126"/>
      <c r="H96" s="274"/>
      <c r="I96" s="274"/>
      <c r="J96" s="274"/>
      <c r="K96" s="274"/>
      <c r="L96" s="274"/>
      <c r="M96" s="274"/>
      <c r="N96" s="274"/>
      <c r="O96" s="274"/>
      <c r="P96" s="244"/>
      <c r="Q96" s="274"/>
      <c r="R96" s="274"/>
      <c r="S96" s="274"/>
      <c r="T96" s="274"/>
      <c r="U96" s="274"/>
      <c r="V96" s="274"/>
      <c r="W96" s="274"/>
      <c r="X96" s="244"/>
      <c r="Y96" s="275"/>
      <c r="Z96" s="275"/>
      <c r="AA96" s="275"/>
      <c r="AB96" s="275"/>
    </row>
    <row r="97" spans="1:44" s="235" customFormat="1" ht="19.5" customHeight="1" x14ac:dyDescent="0.2">
      <c r="A97" s="201" t="s">
        <v>216</v>
      </c>
      <c r="B97" s="254" t="s">
        <v>217</v>
      </c>
      <c r="C97" s="254"/>
      <c r="D97" s="254"/>
      <c r="E97" s="254"/>
      <c r="F97" s="234"/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M97" s="238"/>
    </row>
    <row r="98" spans="1:44" s="235" customFormat="1" ht="15.75" customHeight="1" x14ac:dyDescent="0.2">
      <c r="A98" s="201">
        <v>1</v>
      </c>
      <c r="B98" s="234" t="s">
        <v>781</v>
      </c>
      <c r="C98" s="254"/>
      <c r="D98" s="254"/>
      <c r="E98" s="254"/>
      <c r="F98" s="254"/>
      <c r="G98" s="276"/>
      <c r="H98" s="276"/>
      <c r="I98" s="276"/>
      <c r="J98" s="276"/>
      <c r="K98" s="276"/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  <c r="X98" s="276"/>
      <c r="Y98" s="276"/>
      <c r="Z98" s="276"/>
      <c r="AA98" s="276"/>
      <c r="AM98" s="238"/>
    </row>
    <row r="99" spans="1:44" ht="15" customHeight="1" x14ac:dyDescent="0.25">
      <c r="A99" s="277"/>
      <c r="B99" s="278"/>
      <c r="C99" s="279"/>
      <c r="D99" s="279"/>
      <c r="E99" s="279"/>
      <c r="F99" s="279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M99" s="202"/>
    </row>
    <row r="100" spans="1:44" ht="138" customHeight="1" x14ac:dyDescent="0.25">
      <c r="A100" s="277"/>
      <c r="B100" s="497"/>
      <c r="C100" s="498"/>
      <c r="D100" s="498"/>
      <c r="E100" s="498"/>
      <c r="F100" s="498"/>
      <c r="G100" s="498"/>
      <c r="H100" s="498"/>
      <c r="I100" s="498"/>
      <c r="J100" s="498"/>
      <c r="K100" s="498"/>
      <c r="L100" s="498"/>
      <c r="M100" s="498"/>
      <c r="N100" s="498"/>
      <c r="O100" s="498"/>
      <c r="P100" s="498"/>
      <c r="Q100" s="498"/>
      <c r="R100" s="498"/>
      <c r="S100" s="498"/>
      <c r="T100" s="498"/>
      <c r="U100" s="498"/>
      <c r="V100" s="498"/>
      <c r="W100" s="498"/>
      <c r="X100" s="498"/>
      <c r="Y100" s="498"/>
      <c r="Z100" s="498"/>
      <c r="AA100" s="498"/>
      <c r="AB100" s="499"/>
      <c r="AM100" s="202"/>
    </row>
    <row r="101" spans="1:44" ht="198.75" customHeight="1" x14ac:dyDescent="0.2">
      <c r="A101" s="123"/>
      <c r="B101" s="503"/>
      <c r="C101" s="504"/>
      <c r="D101" s="504"/>
      <c r="E101" s="504"/>
      <c r="F101" s="504"/>
      <c r="G101" s="504"/>
      <c r="H101" s="504"/>
      <c r="I101" s="504"/>
      <c r="J101" s="504"/>
      <c r="K101" s="504"/>
      <c r="L101" s="504"/>
      <c r="M101" s="504"/>
      <c r="N101" s="504"/>
      <c r="O101" s="504"/>
      <c r="P101" s="504"/>
      <c r="Q101" s="504"/>
      <c r="R101" s="504"/>
      <c r="S101" s="504"/>
      <c r="T101" s="504"/>
      <c r="U101" s="504"/>
      <c r="V101" s="504"/>
      <c r="W101" s="504"/>
      <c r="X101" s="504"/>
      <c r="Y101" s="504"/>
      <c r="Z101" s="504"/>
      <c r="AA101" s="504"/>
      <c r="AB101" s="505"/>
      <c r="AM101" s="202"/>
    </row>
    <row r="102" spans="1:44" ht="6.75" customHeight="1" x14ac:dyDescent="0.2">
      <c r="A102" s="280"/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M102" s="202"/>
      <c r="AR102" s="273"/>
    </row>
    <row r="103" spans="1:44" s="235" customFormat="1" ht="12.75" customHeight="1" x14ac:dyDescent="0.2">
      <c r="A103" s="201">
        <v>2</v>
      </c>
      <c r="B103" s="616" t="s">
        <v>782</v>
      </c>
      <c r="C103" s="616"/>
      <c r="D103" s="616"/>
      <c r="E103" s="616"/>
      <c r="F103" s="616"/>
      <c r="G103" s="616"/>
      <c r="H103" s="616"/>
      <c r="I103" s="616"/>
      <c r="J103" s="616"/>
      <c r="K103" s="616"/>
      <c r="L103" s="616"/>
      <c r="M103" s="616"/>
      <c r="N103" s="616"/>
      <c r="O103" s="616"/>
      <c r="P103" s="616"/>
      <c r="Q103" s="616"/>
      <c r="R103" s="616"/>
      <c r="S103" s="616"/>
      <c r="T103" s="616"/>
      <c r="U103" s="616"/>
      <c r="V103" s="616"/>
      <c r="W103" s="616"/>
      <c r="X103" s="616"/>
      <c r="Y103" s="616"/>
      <c r="Z103" s="616"/>
      <c r="AA103" s="616"/>
    </row>
    <row r="104" spans="1:44" ht="12.6" hidden="1" customHeight="1" x14ac:dyDescent="0.25">
      <c r="A104" s="277"/>
      <c r="B104" s="279"/>
      <c r="C104" s="279"/>
      <c r="D104" s="279"/>
      <c r="E104" s="279"/>
      <c r="F104" s="279"/>
      <c r="G104" s="279"/>
      <c r="H104" s="279"/>
      <c r="I104" s="279"/>
      <c r="J104" s="279"/>
      <c r="K104" s="279"/>
      <c r="L104" s="279"/>
      <c r="M104" s="279"/>
      <c r="N104" s="279"/>
      <c r="O104" s="279"/>
      <c r="P104" s="279"/>
      <c r="Q104" s="279"/>
      <c r="R104" s="279"/>
      <c r="S104" s="279"/>
      <c r="T104" s="279"/>
      <c r="U104" s="279"/>
      <c r="V104" s="279"/>
      <c r="W104" s="279"/>
      <c r="X104" s="279"/>
      <c r="Y104" s="279"/>
      <c r="Z104" s="279"/>
      <c r="AA104" s="279"/>
    </row>
    <row r="105" spans="1:44" ht="139.5" customHeight="1" x14ac:dyDescent="0.25">
      <c r="A105" s="277"/>
      <c r="B105" s="497"/>
      <c r="C105" s="498"/>
      <c r="D105" s="498"/>
      <c r="E105" s="498"/>
      <c r="F105" s="498"/>
      <c r="G105" s="498"/>
      <c r="H105" s="498"/>
      <c r="I105" s="498"/>
      <c r="J105" s="498"/>
      <c r="K105" s="498"/>
      <c r="L105" s="498"/>
      <c r="M105" s="498"/>
      <c r="N105" s="498"/>
      <c r="O105" s="498"/>
      <c r="P105" s="498"/>
      <c r="Q105" s="498"/>
      <c r="R105" s="498"/>
      <c r="S105" s="498"/>
      <c r="T105" s="498"/>
      <c r="U105" s="498"/>
      <c r="V105" s="498"/>
      <c r="W105" s="498"/>
      <c r="X105" s="498"/>
      <c r="Y105" s="498"/>
      <c r="Z105" s="498"/>
      <c r="AA105" s="498"/>
      <c r="AB105" s="499"/>
    </row>
    <row r="106" spans="1:44" ht="204" customHeight="1" x14ac:dyDescent="0.2">
      <c r="A106" s="281"/>
      <c r="B106" s="500"/>
      <c r="C106" s="501"/>
      <c r="D106" s="501"/>
      <c r="E106" s="501"/>
      <c r="F106" s="501"/>
      <c r="G106" s="501"/>
      <c r="H106" s="501"/>
      <c r="I106" s="501"/>
      <c r="J106" s="501"/>
      <c r="K106" s="501"/>
      <c r="L106" s="501"/>
      <c r="M106" s="501"/>
      <c r="N106" s="501"/>
      <c r="O106" s="501"/>
      <c r="P106" s="501"/>
      <c r="Q106" s="501"/>
      <c r="R106" s="501"/>
      <c r="S106" s="501"/>
      <c r="T106" s="501"/>
      <c r="U106" s="501"/>
      <c r="V106" s="501"/>
      <c r="W106" s="501"/>
      <c r="X106" s="501"/>
      <c r="Y106" s="501"/>
      <c r="Z106" s="501"/>
      <c r="AA106" s="501"/>
      <c r="AB106" s="502"/>
      <c r="AM106" s="235"/>
    </row>
    <row r="107" spans="1:44" ht="14.25" customHeight="1" x14ac:dyDescent="0.2">
      <c r="A107" s="280"/>
      <c r="B107" s="503"/>
      <c r="C107" s="504"/>
      <c r="D107" s="504"/>
      <c r="E107" s="504"/>
      <c r="F107" s="504"/>
      <c r="G107" s="504"/>
      <c r="H107" s="504"/>
      <c r="I107" s="504"/>
      <c r="J107" s="504"/>
      <c r="K107" s="504"/>
      <c r="L107" s="504"/>
      <c r="M107" s="504"/>
      <c r="N107" s="504"/>
      <c r="O107" s="504"/>
      <c r="P107" s="504"/>
      <c r="Q107" s="504"/>
      <c r="R107" s="504"/>
      <c r="S107" s="504"/>
      <c r="T107" s="504"/>
      <c r="U107" s="504"/>
      <c r="V107" s="504"/>
      <c r="W107" s="504"/>
      <c r="X107" s="504"/>
      <c r="Y107" s="504"/>
      <c r="Z107" s="504"/>
      <c r="AA107" s="504"/>
      <c r="AB107" s="505"/>
      <c r="AM107" s="273"/>
    </row>
    <row r="108" spans="1:44" s="294" customFormat="1" ht="16.5" customHeight="1" x14ac:dyDescent="0.2">
      <c r="A108" s="280"/>
      <c r="B108" s="313"/>
      <c r="C108" s="313"/>
      <c r="D108" s="313"/>
      <c r="E108" s="313"/>
      <c r="F108" s="313"/>
      <c r="G108" s="313"/>
      <c r="H108" s="313"/>
      <c r="I108" s="313"/>
      <c r="J108" s="313"/>
      <c r="K108" s="313"/>
      <c r="L108" s="313"/>
      <c r="M108" s="313"/>
      <c r="N108" s="313"/>
      <c r="O108" s="313"/>
      <c r="P108" s="313"/>
      <c r="Q108" s="313"/>
      <c r="R108" s="313"/>
      <c r="S108" s="313"/>
      <c r="T108" s="313"/>
      <c r="U108" s="313"/>
      <c r="V108" s="313"/>
      <c r="W108" s="313"/>
      <c r="X108" s="313"/>
      <c r="Y108" s="313"/>
      <c r="Z108" s="313"/>
      <c r="AA108" s="313"/>
      <c r="AB108" s="313"/>
      <c r="AM108" s="273"/>
    </row>
    <row r="109" spans="1:44" s="235" customFormat="1" ht="22.9" customHeight="1" x14ac:dyDescent="0.2">
      <c r="A109" s="201">
        <v>3</v>
      </c>
      <c r="B109" s="615" t="s">
        <v>740</v>
      </c>
      <c r="C109" s="615"/>
      <c r="D109" s="615"/>
      <c r="E109" s="615"/>
      <c r="F109" s="615"/>
      <c r="G109" s="615"/>
      <c r="H109" s="615"/>
      <c r="I109" s="615"/>
      <c r="J109" s="615"/>
      <c r="K109" s="615"/>
      <c r="L109" s="615"/>
      <c r="M109" s="615"/>
      <c r="N109" s="615"/>
      <c r="O109" s="615"/>
      <c r="P109" s="615"/>
      <c r="Q109" s="615"/>
      <c r="R109" s="615"/>
      <c r="S109" s="615"/>
      <c r="T109" s="615"/>
      <c r="U109" s="615"/>
      <c r="V109" s="615"/>
      <c r="W109" s="615"/>
      <c r="X109" s="615"/>
      <c r="Y109" s="615"/>
      <c r="Z109" s="615"/>
      <c r="AA109" s="615"/>
      <c r="AB109" s="615"/>
    </row>
    <row r="110" spans="1:44" ht="384.6" customHeight="1" x14ac:dyDescent="0.2">
      <c r="A110" s="281"/>
      <c r="B110" s="467"/>
      <c r="C110" s="468"/>
      <c r="D110" s="468"/>
      <c r="E110" s="468"/>
      <c r="F110" s="468"/>
      <c r="G110" s="468"/>
      <c r="H110" s="468"/>
      <c r="I110" s="468"/>
      <c r="J110" s="468"/>
      <c r="K110" s="468"/>
      <c r="L110" s="468"/>
      <c r="M110" s="468"/>
      <c r="N110" s="468"/>
      <c r="O110" s="468"/>
      <c r="P110" s="468"/>
      <c r="Q110" s="468"/>
      <c r="R110" s="468"/>
      <c r="S110" s="468"/>
      <c r="T110" s="468"/>
      <c r="U110" s="468"/>
      <c r="V110" s="468"/>
      <c r="W110" s="468"/>
      <c r="X110" s="468"/>
      <c r="Y110" s="468"/>
      <c r="Z110" s="468"/>
      <c r="AA110" s="468"/>
      <c r="AB110" s="469"/>
    </row>
    <row r="111" spans="1:44" ht="287.25" customHeight="1" x14ac:dyDescent="0.2">
      <c r="A111" s="280"/>
      <c r="B111" s="473"/>
      <c r="C111" s="474"/>
      <c r="D111" s="474"/>
      <c r="E111" s="474"/>
      <c r="F111" s="474"/>
      <c r="G111" s="474"/>
      <c r="H111" s="474"/>
      <c r="I111" s="474"/>
      <c r="J111" s="474"/>
      <c r="K111" s="474"/>
      <c r="L111" s="474"/>
      <c r="M111" s="474"/>
      <c r="N111" s="474"/>
      <c r="O111" s="474"/>
      <c r="P111" s="474"/>
      <c r="Q111" s="474"/>
      <c r="R111" s="474"/>
      <c r="S111" s="474"/>
      <c r="T111" s="474"/>
      <c r="U111" s="474"/>
      <c r="V111" s="474"/>
      <c r="W111" s="474"/>
      <c r="X111" s="474"/>
      <c r="Y111" s="474"/>
      <c r="Z111" s="474"/>
      <c r="AA111" s="474"/>
      <c r="AB111" s="475"/>
    </row>
    <row r="112" spans="1:44" s="235" customFormat="1" ht="18" customHeight="1" x14ac:dyDescent="0.2">
      <c r="A112" s="201">
        <v>4</v>
      </c>
      <c r="B112" s="254" t="s">
        <v>729</v>
      </c>
      <c r="C112" s="234"/>
      <c r="D112" s="234"/>
      <c r="E112" s="276"/>
      <c r="F112" s="276"/>
      <c r="G112" s="276"/>
      <c r="H112" s="276"/>
      <c r="I112" s="276"/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6"/>
      <c r="X112" s="276"/>
      <c r="Y112" s="276"/>
      <c r="Z112" s="276"/>
      <c r="AA112" s="276"/>
    </row>
    <row r="113" spans="1:28" ht="2.4500000000000002" customHeight="1" x14ac:dyDescent="0.25">
      <c r="A113" s="277"/>
      <c r="B113" s="279"/>
      <c r="C113" s="278"/>
      <c r="D113" s="278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15"/>
      <c r="W113" s="215"/>
      <c r="X113" s="215"/>
      <c r="Y113" s="215"/>
      <c r="Z113" s="215"/>
      <c r="AA113" s="215"/>
    </row>
    <row r="114" spans="1:28" ht="183" customHeight="1" x14ac:dyDescent="0.25">
      <c r="A114" s="277"/>
      <c r="B114" s="467"/>
      <c r="C114" s="468"/>
      <c r="D114" s="468"/>
      <c r="E114" s="468"/>
      <c r="F114" s="468"/>
      <c r="G114" s="468"/>
      <c r="H114" s="468"/>
      <c r="I114" s="468"/>
      <c r="J114" s="468"/>
      <c r="K114" s="468"/>
      <c r="L114" s="468"/>
      <c r="M114" s="468"/>
      <c r="N114" s="468"/>
      <c r="O114" s="468"/>
      <c r="P114" s="468"/>
      <c r="Q114" s="468"/>
      <c r="R114" s="468"/>
      <c r="S114" s="468"/>
      <c r="T114" s="468"/>
      <c r="U114" s="468"/>
      <c r="V114" s="468"/>
      <c r="W114" s="468"/>
      <c r="X114" s="468"/>
      <c r="Y114" s="468"/>
      <c r="Z114" s="468"/>
      <c r="AA114" s="468"/>
      <c r="AB114" s="469"/>
    </row>
    <row r="115" spans="1:28" ht="126" customHeight="1" x14ac:dyDescent="0.2">
      <c r="A115" s="281"/>
      <c r="B115" s="470"/>
      <c r="C115" s="471"/>
      <c r="D115" s="471"/>
      <c r="E115" s="471"/>
      <c r="F115" s="471"/>
      <c r="G115" s="471"/>
      <c r="H115" s="471"/>
      <c r="I115" s="471"/>
      <c r="J115" s="471"/>
      <c r="K115" s="471"/>
      <c r="L115" s="471"/>
      <c r="M115" s="471"/>
      <c r="N115" s="471"/>
      <c r="O115" s="471"/>
      <c r="P115" s="471"/>
      <c r="Q115" s="471"/>
      <c r="R115" s="471"/>
      <c r="S115" s="471"/>
      <c r="T115" s="471"/>
      <c r="U115" s="471"/>
      <c r="V115" s="471"/>
      <c r="W115" s="471"/>
      <c r="X115" s="471"/>
      <c r="Y115" s="471"/>
      <c r="Z115" s="471"/>
      <c r="AA115" s="471"/>
      <c r="AB115" s="472"/>
    </row>
    <row r="116" spans="1:28" ht="0.75" customHeight="1" x14ac:dyDescent="0.2">
      <c r="A116" s="282"/>
      <c r="B116" s="473"/>
      <c r="C116" s="474"/>
      <c r="D116" s="474"/>
      <c r="E116" s="474"/>
      <c r="F116" s="474"/>
      <c r="G116" s="474"/>
      <c r="H116" s="474"/>
      <c r="I116" s="474"/>
      <c r="J116" s="474"/>
      <c r="K116" s="474"/>
      <c r="L116" s="474"/>
      <c r="M116" s="474"/>
      <c r="N116" s="474"/>
      <c r="O116" s="474"/>
      <c r="P116" s="474"/>
      <c r="Q116" s="474"/>
      <c r="R116" s="474"/>
      <c r="S116" s="474"/>
      <c r="T116" s="474"/>
      <c r="U116" s="474"/>
      <c r="V116" s="474"/>
      <c r="W116" s="474"/>
      <c r="X116" s="474"/>
      <c r="Y116" s="474"/>
      <c r="Z116" s="474"/>
      <c r="AA116" s="474"/>
      <c r="AB116" s="475"/>
    </row>
    <row r="117" spans="1:28" ht="9.75" hidden="1" customHeight="1" x14ac:dyDescent="0.2">
      <c r="A117" s="282"/>
      <c r="B117" s="283"/>
      <c r="C117" s="283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</row>
    <row r="118" spans="1:28" s="235" customFormat="1" ht="21.75" customHeight="1" x14ac:dyDescent="0.2">
      <c r="A118" s="201">
        <v>5</v>
      </c>
      <c r="B118" s="254" t="s">
        <v>761</v>
      </c>
      <c r="C118" s="276"/>
      <c r="D118" s="276"/>
      <c r="E118" s="276"/>
      <c r="F118" s="276"/>
      <c r="G118" s="276"/>
      <c r="H118" s="276"/>
      <c r="I118" s="276"/>
      <c r="J118" s="276"/>
      <c r="K118" s="276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  <c r="V118" s="276"/>
      <c r="W118" s="276"/>
      <c r="X118" s="276"/>
      <c r="Y118" s="276"/>
      <c r="Z118" s="276"/>
      <c r="AA118" s="276"/>
    </row>
    <row r="119" spans="1:28" ht="166.5" customHeight="1" x14ac:dyDescent="0.25">
      <c r="A119" s="277"/>
      <c r="B119" s="497"/>
      <c r="C119" s="498"/>
      <c r="D119" s="498"/>
      <c r="E119" s="498"/>
      <c r="F119" s="498"/>
      <c r="G119" s="498"/>
      <c r="H119" s="498"/>
      <c r="I119" s="498"/>
      <c r="J119" s="498"/>
      <c r="K119" s="498"/>
      <c r="L119" s="498"/>
      <c r="M119" s="498"/>
      <c r="N119" s="498"/>
      <c r="O119" s="498"/>
      <c r="P119" s="498"/>
      <c r="Q119" s="498"/>
      <c r="R119" s="498"/>
      <c r="S119" s="498"/>
      <c r="T119" s="498"/>
      <c r="U119" s="498"/>
      <c r="V119" s="498"/>
      <c r="W119" s="498"/>
      <c r="X119" s="498"/>
      <c r="Y119" s="498"/>
      <c r="Z119" s="498"/>
      <c r="AA119" s="498"/>
      <c r="AB119" s="499"/>
    </row>
    <row r="120" spans="1:28" ht="206.25" customHeight="1" x14ac:dyDescent="0.2">
      <c r="A120" s="281"/>
      <c r="B120" s="503"/>
      <c r="C120" s="504"/>
      <c r="D120" s="504"/>
      <c r="E120" s="504"/>
      <c r="F120" s="504"/>
      <c r="G120" s="504"/>
      <c r="H120" s="504"/>
      <c r="I120" s="504"/>
      <c r="J120" s="504"/>
      <c r="K120" s="504"/>
      <c r="L120" s="504"/>
      <c r="M120" s="504"/>
      <c r="N120" s="504"/>
      <c r="O120" s="504"/>
      <c r="P120" s="504"/>
      <c r="Q120" s="504"/>
      <c r="R120" s="504"/>
      <c r="S120" s="504"/>
      <c r="T120" s="504"/>
      <c r="U120" s="504"/>
      <c r="V120" s="504"/>
      <c r="W120" s="504"/>
      <c r="X120" s="504"/>
      <c r="Y120" s="504"/>
      <c r="Z120" s="504"/>
      <c r="AA120" s="504"/>
      <c r="AB120" s="505"/>
    </row>
    <row r="121" spans="1:28" ht="9" customHeight="1" x14ac:dyDescent="0.2">
      <c r="A121" s="281"/>
      <c r="B121" s="284"/>
      <c r="C121" s="284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</row>
    <row r="122" spans="1:28" ht="9.75" customHeight="1" x14ac:dyDescent="0.25">
      <c r="A122" s="285"/>
      <c r="B122" s="278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</row>
    <row r="123" spans="1:28" ht="2.25" customHeight="1" x14ac:dyDescent="0.2">
      <c r="A123" s="280"/>
      <c r="B123" s="290"/>
      <c r="C123" s="290"/>
      <c r="D123" s="290"/>
      <c r="E123" s="290"/>
      <c r="F123" s="290"/>
      <c r="G123" s="290"/>
      <c r="H123" s="290"/>
      <c r="I123" s="290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5"/>
      <c r="V123" s="215"/>
      <c r="W123" s="215"/>
      <c r="X123" s="215"/>
      <c r="Y123" s="215"/>
      <c r="Z123" s="215"/>
      <c r="AA123" s="215"/>
    </row>
    <row r="124" spans="1:28" x14ac:dyDescent="0.2">
      <c r="B124" s="291"/>
      <c r="C124" s="291"/>
      <c r="D124" s="291"/>
      <c r="E124" s="291"/>
      <c r="F124" s="291"/>
      <c r="G124" s="291"/>
      <c r="H124" s="291"/>
      <c r="I124" s="291"/>
    </row>
    <row r="125" spans="1:28" ht="14.25" x14ac:dyDescent="0.2">
      <c r="B125" s="291"/>
      <c r="C125" s="291"/>
      <c r="D125" s="291"/>
      <c r="E125" s="291"/>
      <c r="F125" s="291"/>
      <c r="G125" s="291"/>
      <c r="H125" s="290"/>
      <c r="I125" s="291"/>
    </row>
    <row r="126" spans="1:28" x14ac:dyDescent="0.2"/>
    <row r="127" spans="1:28" x14ac:dyDescent="0.2"/>
    <row r="128" spans="1: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ht="13.15" hidden="1" customHeight="1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</sheetData>
  <sheetProtection selectLockedCells="1"/>
  <customSheetViews>
    <customSheetView guid="{EEA7A97B-E2BF-43AD-B211-D284BEE221A1}" showGridLines="0" hiddenRows="1" showRuler="0">
      <selection activeCell="AB20" sqref="AB20"/>
      <rowBreaks count="2" manualBreakCount="2">
        <brk id="58" max="16383" man="1"/>
        <brk id="117" max="16383" man="1"/>
      </rowBreaks>
      <pageMargins left="0.70866141732283472" right="0.70866141732283472" top="0.39370078740157483" bottom="0.39370078740157483" header="0.51181102362204722" footer="0.39370078740157483"/>
      <printOptions horizontalCentered="1"/>
      <pageSetup paperSize="9" scale="78" fitToHeight="999" orientation="portrait" r:id="rId1"/>
      <headerFooter alignWithMargins="0"/>
    </customSheetView>
    <customSheetView guid="{04F5F062-CD85-4BE7-B897-A8C5C601EF7B}" showGridLines="0" hiddenRows="1" showRuler="0">
      <selection activeCell="T10" sqref="T10:Z10"/>
      <rowBreaks count="2" manualBreakCount="2">
        <brk id="58" max="16383" man="1"/>
        <brk id="117" max="16383" man="1"/>
      </rowBreaks>
      <pageMargins left="0.70866141732283472" right="0.70866141732283472" top="0.39370078740157483" bottom="0.39370078740157483" header="0.51181102362204722" footer="0.39370078740157483"/>
      <printOptions horizontalCentered="1"/>
      <pageSetup paperSize="9" scale="78" fitToHeight="999" orientation="portrait" r:id="rId2"/>
      <headerFooter alignWithMargins="0"/>
    </customSheetView>
  </customSheetViews>
  <mergeCells count="198">
    <mergeCell ref="B109:AB109"/>
    <mergeCell ref="B103:AA103"/>
    <mergeCell ref="Y94:AB94"/>
    <mergeCell ref="Q86:W86"/>
    <mergeCell ref="H86:O86"/>
    <mergeCell ref="B86:G86"/>
    <mergeCell ref="Z59:AB59"/>
    <mergeCell ref="M63:O63"/>
    <mergeCell ref="E67:L67"/>
    <mergeCell ref="M64:O64"/>
    <mergeCell ref="P64:R64"/>
    <mergeCell ref="M67:O67"/>
    <mergeCell ref="E62:L62"/>
    <mergeCell ref="E66:L66"/>
    <mergeCell ref="E64:L64"/>
    <mergeCell ref="P63:R63"/>
    <mergeCell ref="S67:U67"/>
    <mergeCell ref="M62:O62"/>
    <mergeCell ref="P62:R62"/>
    <mergeCell ref="P66:R66"/>
    <mergeCell ref="S61:U61"/>
    <mergeCell ref="W59:Y59"/>
    <mergeCell ref="E63:L63"/>
    <mergeCell ref="W63:Y63"/>
    <mergeCell ref="F53:H53"/>
    <mergeCell ref="B52:I52"/>
    <mergeCell ref="S58:U58"/>
    <mergeCell ref="P60:R60"/>
    <mergeCell ref="E57:L58"/>
    <mergeCell ref="P57:R57"/>
    <mergeCell ref="M58:O58"/>
    <mergeCell ref="E61:L61"/>
    <mergeCell ref="S57:U57"/>
    <mergeCell ref="S60:U60"/>
    <mergeCell ref="E60:L60"/>
    <mergeCell ref="M60:O60"/>
    <mergeCell ref="M61:O61"/>
    <mergeCell ref="S59:U59"/>
    <mergeCell ref="P61:R61"/>
    <mergeCell ref="P58:R58"/>
    <mergeCell ref="A1:D1"/>
    <mergeCell ref="A2:D2"/>
    <mergeCell ref="V38:AB38"/>
    <mergeCell ref="AA17:AB17"/>
    <mergeCell ref="B14:F14"/>
    <mergeCell ref="G14:K14"/>
    <mergeCell ref="D18:G18"/>
    <mergeCell ref="AA18:AB18"/>
    <mergeCell ref="B15:F15"/>
    <mergeCell ref="B17:C17"/>
    <mergeCell ref="L15:X15"/>
    <mergeCell ref="B23:K23"/>
    <mergeCell ref="G15:K15"/>
    <mergeCell ref="L14:X14"/>
    <mergeCell ref="Q18:X18"/>
    <mergeCell ref="Q20:X20"/>
    <mergeCell ref="F20:P20"/>
    <mergeCell ref="B22:F22"/>
    <mergeCell ref="B18:C18"/>
    <mergeCell ref="H18:P18"/>
    <mergeCell ref="B27:AB27"/>
    <mergeCell ref="AA20:AB20"/>
    <mergeCell ref="AA21:AB21"/>
    <mergeCell ref="W34:AB34"/>
    <mergeCell ref="B20:E20"/>
    <mergeCell ref="B21:E21"/>
    <mergeCell ref="F21:P21"/>
    <mergeCell ref="Q21:X21"/>
    <mergeCell ref="Q25:AB25"/>
    <mergeCell ref="Q26:AB26"/>
    <mergeCell ref="C4:Y4"/>
    <mergeCell ref="L13:O13"/>
    <mergeCell ref="B13:K13"/>
    <mergeCell ref="P13:X13"/>
    <mergeCell ref="B11:X11"/>
    <mergeCell ref="AA11:AB11"/>
    <mergeCell ref="A7:AB7"/>
    <mergeCell ref="B12:K12"/>
    <mergeCell ref="M12:O12"/>
    <mergeCell ref="B10:X10"/>
    <mergeCell ref="AA12:AB13"/>
    <mergeCell ref="B25:P25"/>
    <mergeCell ref="B114:AB116"/>
    <mergeCell ref="B105:AB107"/>
    <mergeCell ref="Q94:W94"/>
    <mergeCell ref="H94:O94"/>
    <mergeCell ref="B100:AB101"/>
    <mergeCell ref="B119:AB120"/>
    <mergeCell ref="B110:AB111"/>
    <mergeCell ref="L23:X23"/>
    <mergeCell ref="L22:X22"/>
    <mergeCell ref="B31:AB31"/>
    <mergeCell ref="B34:I34"/>
    <mergeCell ref="B35:D35"/>
    <mergeCell ref="F36:I36"/>
    <mergeCell ref="B36:E36"/>
    <mergeCell ref="J44:AA44"/>
    <mergeCell ref="B44:E44"/>
    <mergeCell ref="B51:E51"/>
    <mergeCell ref="F51:H51"/>
    <mergeCell ref="B48:E48"/>
    <mergeCell ref="F48:H48"/>
    <mergeCell ref="W36:AB36"/>
    <mergeCell ref="F35:I35"/>
    <mergeCell ref="F49:H49"/>
    <mergeCell ref="F50:H50"/>
    <mergeCell ref="B70:K70"/>
    <mergeCell ref="L70:N70"/>
    <mergeCell ref="O70:Q70"/>
    <mergeCell ref="Y85:AB85"/>
    <mergeCell ref="O71:Q71"/>
    <mergeCell ref="Z83:AA84"/>
    <mergeCell ref="U71:V72"/>
    <mergeCell ref="S63:U63"/>
    <mergeCell ref="B81:J81"/>
    <mergeCell ref="A80:G80"/>
    <mergeCell ref="A73:AB73"/>
    <mergeCell ref="M80:AB80"/>
    <mergeCell ref="H80:L80"/>
    <mergeCell ref="A74:AB79"/>
    <mergeCell ref="U70:X70"/>
    <mergeCell ref="B63:D65"/>
    <mergeCell ref="S64:U64"/>
    <mergeCell ref="E65:L65"/>
    <mergeCell ref="B71:K71"/>
    <mergeCell ref="L71:N71"/>
    <mergeCell ref="W71:X72"/>
    <mergeCell ref="B66:D68"/>
    <mergeCell ref="Z63:AB63"/>
    <mergeCell ref="B43:I43"/>
    <mergeCell ref="B60:D62"/>
    <mergeCell ref="B59:D59"/>
    <mergeCell ref="W57:AB58"/>
    <mergeCell ref="E68:L68"/>
    <mergeCell ref="M68:O68"/>
    <mergeCell ref="P68:R68"/>
    <mergeCell ref="S66:U66"/>
    <mergeCell ref="M65:O65"/>
    <mergeCell ref="S68:U68"/>
    <mergeCell ref="S65:U65"/>
    <mergeCell ref="P65:R65"/>
    <mergeCell ref="P67:R67"/>
    <mergeCell ref="M66:O66"/>
    <mergeCell ref="B53:E53"/>
    <mergeCell ref="S62:U62"/>
    <mergeCell ref="M57:O57"/>
    <mergeCell ref="B50:E50"/>
    <mergeCell ref="J49:AB53"/>
    <mergeCell ref="F44:H44"/>
    <mergeCell ref="J47:AB48"/>
    <mergeCell ref="F47:H47"/>
    <mergeCell ref="F45:H45"/>
    <mergeCell ref="B49:E49"/>
    <mergeCell ref="A3:B3"/>
    <mergeCell ref="A4:B4"/>
    <mergeCell ref="B83:J83"/>
    <mergeCell ref="B84:I84"/>
    <mergeCell ref="B85:G85"/>
    <mergeCell ref="Q85:W85"/>
    <mergeCell ref="I85:P85"/>
    <mergeCell ref="C26:L26"/>
    <mergeCell ref="J34:V34"/>
    <mergeCell ref="B37:M37"/>
    <mergeCell ref="B45:E45"/>
    <mergeCell ref="B56:G56"/>
    <mergeCell ref="F46:H46"/>
    <mergeCell ref="M59:O59"/>
    <mergeCell ref="E59:L59"/>
    <mergeCell ref="P59:R59"/>
    <mergeCell ref="B32:AB32"/>
    <mergeCell ref="B40:N40"/>
    <mergeCell ref="B41:R41"/>
    <mergeCell ref="W60:Y60"/>
    <mergeCell ref="W61:Y62"/>
    <mergeCell ref="Z60:AB60"/>
    <mergeCell ref="Z61:AB62"/>
    <mergeCell ref="B69:AA69"/>
    <mergeCell ref="R87:Y87"/>
    <mergeCell ref="R88:Y88"/>
    <mergeCell ref="R89:Y89"/>
    <mergeCell ref="R90:Y90"/>
    <mergeCell ref="R91:Y91"/>
    <mergeCell ref="R92:Y92"/>
    <mergeCell ref="R93:Y93"/>
    <mergeCell ref="B87:H87"/>
    <mergeCell ref="B88:H88"/>
    <mergeCell ref="B89:H89"/>
    <mergeCell ref="B90:H90"/>
    <mergeCell ref="B91:H91"/>
    <mergeCell ref="B92:H92"/>
    <mergeCell ref="B93:H93"/>
    <mergeCell ref="I87:Q87"/>
    <mergeCell ref="I88:Q88"/>
    <mergeCell ref="I89:Q89"/>
    <mergeCell ref="I90:Q90"/>
    <mergeCell ref="I91:Q91"/>
    <mergeCell ref="I92:Q92"/>
    <mergeCell ref="I93:Q93"/>
  </mergeCells>
  <phoneticPr fontId="0" type="noConversion"/>
  <conditionalFormatting sqref="B53 F53">
    <cfRule type="cellIs" dxfId="26" priority="128" stopIfTrue="1" operator="equal">
      <formula>"F"</formula>
    </cfRule>
  </conditionalFormatting>
  <conditionalFormatting sqref="B27:AB29">
    <cfRule type="containsText" dxfId="25" priority="7" operator="containsText" text="Bitte ">
      <formula>NOT(ISERROR(SEARCH("Bitte ",B27)))</formula>
    </cfRule>
  </conditionalFormatting>
  <conditionalFormatting sqref="H86:AB86 R88:R93 Z87:AB93">
    <cfRule type="expression" dxfId="24" priority="16" stopIfTrue="1">
      <formula>$B$86&lt;&gt;" "</formula>
    </cfRule>
  </conditionalFormatting>
  <conditionalFormatting sqref="H94:AB94">
    <cfRule type="expression" dxfId="23" priority="17" stopIfTrue="1">
      <formula>$B$94&lt;&gt;" "</formula>
    </cfRule>
  </conditionalFormatting>
  <conditionalFormatting sqref="Q25:AB25">
    <cfRule type="containsText" dxfId="22" priority="1" operator="containsText" text="Eureka">
      <formula>NOT(ISERROR(SEARCH("Eureka",Q25)))</formula>
    </cfRule>
  </conditionalFormatting>
  <conditionalFormatting sqref="U42">
    <cfRule type="containsText" dxfId="21" priority="8" operator="containsText" text="Übergangsregion!">
      <formula>NOT(ISERROR(SEARCH("Übergangsregion!",U42)))</formula>
    </cfRule>
  </conditionalFormatting>
  <conditionalFormatting sqref="AA12:AB13">
    <cfRule type="cellIs" dxfId="20" priority="60" stopIfTrue="1" operator="between">
      <formula>1</formula>
      <formula>500</formula>
    </cfRule>
  </conditionalFormatting>
  <conditionalFormatting sqref="AA21:AB21">
    <cfRule type="cellIs" dxfId="19" priority="11" stopIfTrue="1" operator="lessThanOrEqual">
      <formula>40784</formula>
    </cfRule>
  </conditionalFormatting>
  <dataValidations xWindow="132" yWindow="427" count="19">
    <dataValidation type="textLength" operator="lessThanOrEqual" allowBlank="1" showInputMessage="1" showErrorMessage="1" error="Maximale Zeichenanzahl überschritten!" promptTitle="Zeichenbegrenzung" prompt="Maximal 2400 Zeichen" sqref="B114:AB116">
      <formula1>2500</formula1>
    </dataValidation>
    <dataValidation type="textLength" operator="lessThanOrEqual" allowBlank="1" showInputMessage="1" showErrorMessage="1" error="Maximale Zeichenanzahl überschritten!" promptTitle="Zeichenbegrenzung" prompt="Maximal 1800 Zeichen." sqref="B121:AA121">
      <formula1>1850</formula1>
    </dataValidation>
    <dataValidation type="whole" operator="greaterThanOrEqual" allowBlank="1" showInputMessage="1" showErrorMessage="1" errorTitle="Mindestteilnehmendenanzahl" error="Die Mindestanzahl für Teilnehmende von 12 wurde unterschritten." promptTitle="Teilnehmeranzahl" prompt="Die Mindestanzahl für Teilnehmende liegt bei 12 Personen." sqref="C48">
      <formula1>12</formula1>
    </dataValidation>
    <dataValidation allowBlank="1" showErrorMessage="1" prompt="_x000a_" sqref="F53:H53"/>
    <dataValidation type="textLength" operator="lessThanOrEqual" allowBlank="1" showInputMessage="1" showErrorMessage="1" error="Maximale Zeichenanzahl überschritten!" promptTitle="Zeichenbegrenzung" prompt="Maximal 3000 Zeichen" sqref="B110:AB111">
      <formula1>3100</formula1>
    </dataValidation>
    <dataValidation allowBlank="1" showInputMessage="1" showErrorMessage="1" prompt="Bitte kreuzen Sie an: _x000a_wd für wiederholte Durchführung_x000a_ed für erstmalige Durchführung" sqref="J35"/>
    <dataValidation type="whole" operator="greaterThanOrEqual" allowBlank="1" showErrorMessage="1" error="Es können nur ganze Zahlen größer oder gleich 0 eingetragen werden." sqref="F44:H51">
      <formula1>0</formula1>
    </dataValidation>
    <dataValidation type="whole" operator="greaterThanOrEqual" allowBlank="1" showInputMessage="1" showErrorMessage="1" error="Es können nur Zahlen größer oder gleich 0 eingetragen werden!" sqref="Z59 P59:V68">
      <formula1>0</formula1>
    </dataValidation>
    <dataValidation type="textLength" operator="lessThanOrEqual" allowBlank="1" showInputMessage="1" showErrorMessage="1" error="Maximale Zeichenanzahl überschritten." promptTitle="Zeichenbegenzung" prompt="Maximal 2400 Zeichen" sqref="B100:AB101">
      <formula1>2500</formula1>
    </dataValidation>
    <dataValidation type="textLength" operator="lessThanOrEqual" allowBlank="1" showInputMessage="1" showErrorMessage="1" error="Maximale Zeichenanzahl überschritten!" promptTitle="Zeichenbegrenzung" prompt="Maximal 1800 Zeichen" sqref="B119:AB120">
      <formula1>1900</formula1>
    </dataValidation>
    <dataValidation type="textLength" operator="lessThanOrEqual" allowBlank="1" showInputMessage="1" showErrorMessage="1" error="Maximale Zeichenanzahl überschritten." promptTitle="Zeichenbegrenzung" prompt="Maximal 3000 Zeichen" sqref="B105:AB108">
      <formula1>3100</formula1>
    </dataValidation>
    <dataValidation operator="greaterThanOrEqual" allowBlank="1" showInputMessage="1" showErrorMessage="1" error="Es können nur Zahlen größer oder gleich 0 eingetragen werden!" sqref="W57"/>
    <dataValidation type="date" operator="greaterThan" allowBlank="1" showInputMessage="1" showErrorMessage="1" sqref="F36:I36">
      <formula1>45474</formula1>
    </dataValidation>
    <dataValidation type="custom" allowBlank="1" showInputMessage="1" showErrorMessage="1" sqref="A1:D1">
      <formula1>"Eingangsdat"</formula1>
    </dataValidation>
    <dataValidation showInputMessage="1" showErrorMessage="1" sqref="A2:D2"/>
    <dataValidation allowBlank="1" showInputMessage="1" showErrorMessage="1" promptTitle="E-Mail" prompt="Bitte beachten Sie, dass eine Rückmeldung zur Anmeldung an die benannte E-Mail-Adresse erfolgt. Stellen Sie daher sicher, dass das eingetragene E-Mail-Konto regelmäßig bearbeitet wird." sqref="L15:X15"/>
    <dataValidation allowBlank="1" showInputMessage="1" showErrorMessage="1" promptTitle="Ansprechperson" prompt="Vollständige Angaben zur Ansprechperson sind notwendig, damit Rückfra-gen im Rahmen des Aufrufverfahrens schnell mit dieser Person geklärt werden können." sqref="F21:P21 Q21:X21"/>
    <dataValidation allowBlank="1" showInputMessage="1" showErrorMessage="1" promptTitle="Plätze/gesamt" prompt="Angabe der Platzanzahl (z.B. bei mehrmaliger Durchführung einer Schulung im Projektzeitraum liegt diese unter der Anzahl gesamt, bei zweimaliger Durchführung müsste sie genau die Hälfte der Anzahl/gesamt betragen) " sqref="B44:E44"/>
    <dataValidation allowBlank="1" showInputMessage="1" showErrorMessage="1" promptTitle="Anzahl/gesamt" prompt="Geben Sie an, wie viele Personen voraussichtlich an dem Projekt teilneh-men werden. " sqref="B45:E45"/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7" fitToHeight="999" orientation="portrait" r:id="rId3"/>
  <headerFooter alignWithMargins="0">
    <oddFooter>&amp;L&amp;F&amp;R&amp;P</oddFooter>
  </headerFooter>
  <rowBreaks count="4" manualBreakCount="4">
    <brk id="54" max="28" man="1"/>
    <brk id="95" max="28" man="1"/>
    <brk id="108" max="16383" man="1"/>
    <brk id="111" max="16383" man="1"/>
  </rowBreaks>
  <ignoredErrors>
    <ignoredError sqref="B94 B86" unlockedFormula="1"/>
    <ignoredError sqref="P57 S57" numberStoredAsText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30" r:id="rId6" name="GeK">
              <controlPr locked="0" defaultSize="0" autoLine="0" autoPict="0">
                <anchor moveWithCells="1">
                  <from>
                    <xdr:col>0</xdr:col>
                    <xdr:colOff>257175</xdr:colOff>
                    <xdr:row>36</xdr:row>
                    <xdr:rowOff>190500</xdr:rowOff>
                  </from>
                  <to>
                    <xdr:col>20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7" name="Option Button 410">
              <controlPr defaultSize="0" autoFill="0" autoLine="0" autoPict="0">
                <anchor moveWithCells="1">
                  <from>
                    <xdr:col>4</xdr:col>
                    <xdr:colOff>19050</xdr:colOff>
                    <xdr:row>25</xdr:row>
                    <xdr:rowOff>19050</xdr:rowOff>
                  </from>
                  <to>
                    <xdr:col>6</xdr:col>
                    <xdr:colOff>28575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8" name="Option Button 411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28575</xdr:rowOff>
                  </from>
                  <to>
                    <xdr:col>10</xdr:col>
                    <xdr:colOff>114300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8" r:id="rId9" name="Check Box 2040">
              <controlPr defaultSize="0" autoFill="0" autoLine="0" autoPict="0">
                <anchor moveWithCells="1">
                  <from>
                    <xdr:col>1</xdr:col>
                    <xdr:colOff>133350</xdr:colOff>
                    <xdr:row>40</xdr:row>
                    <xdr:rowOff>47625</xdr:rowOff>
                  </from>
                  <to>
                    <xdr:col>4</xdr:col>
                    <xdr:colOff>85725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9" r:id="rId10" name="Check Box 2041">
              <controlPr defaultSize="0" autoFill="0" autoLine="0" autoPict="0">
                <anchor moveWithCells="1">
                  <from>
                    <xdr:col>5</xdr:col>
                    <xdr:colOff>9525</xdr:colOff>
                    <xdr:row>40</xdr:row>
                    <xdr:rowOff>57150</xdr:rowOff>
                  </from>
                  <to>
                    <xdr:col>9</xdr:col>
                    <xdr:colOff>200025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0" r:id="rId11" name="Check Box 2042">
              <controlPr defaultSize="0" autoFill="0" autoLine="0" autoPict="0">
                <anchor moveWithCells="1">
                  <from>
                    <xdr:col>10</xdr:col>
                    <xdr:colOff>38100</xdr:colOff>
                    <xdr:row>40</xdr:row>
                    <xdr:rowOff>47625</xdr:rowOff>
                  </from>
                  <to>
                    <xdr:col>17</xdr:col>
                    <xdr:colOff>95250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1" r:id="rId12" name="Check Box 2043">
              <controlPr defaultSize="0" autoFill="0" autoLine="0" autoPict="0">
                <anchor moveWithCells="1">
                  <from>
                    <xdr:col>9</xdr:col>
                    <xdr:colOff>19050</xdr:colOff>
                    <xdr:row>34</xdr:row>
                    <xdr:rowOff>57150</xdr:rowOff>
                  </from>
                  <to>
                    <xdr:col>15</xdr:col>
                    <xdr:colOff>19050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2" r:id="rId13" name="Check Box 2044">
              <controlPr defaultSize="0" autoFill="0" autoLine="0" autoPict="0">
                <anchor moveWithCells="1">
                  <from>
                    <xdr:col>15</xdr:col>
                    <xdr:colOff>95250</xdr:colOff>
                    <xdr:row>34</xdr:row>
                    <xdr:rowOff>57150</xdr:rowOff>
                  </from>
                  <to>
                    <xdr:col>20</xdr:col>
                    <xdr:colOff>238125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3" r:id="rId14" name="Check Box 2045">
              <controlPr defaultSize="0" autoFill="0" autoLine="0" autoPict="0">
                <anchor moveWithCells="1">
                  <from>
                    <xdr:col>9</xdr:col>
                    <xdr:colOff>190500</xdr:colOff>
                    <xdr:row>43</xdr:row>
                    <xdr:rowOff>219075</xdr:rowOff>
                  </from>
                  <to>
                    <xdr:col>14</xdr:col>
                    <xdr:colOff>19050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4" r:id="rId15" name="Check Box 2046">
              <controlPr defaultSize="0" autoFill="0" autoLine="0" autoPict="0">
                <anchor moveWithCells="1">
                  <from>
                    <xdr:col>13</xdr:col>
                    <xdr:colOff>95250</xdr:colOff>
                    <xdr:row>43</xdr:row>
                    <xdr:rowOff>219075</xdr:rowOff>
                  </from>
                  <to>
                    <xdr:col>20</xdr:col>
                    <xdr:colOff>28575</xdr:colOff>
                    <xdr:row>44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3:A36"/>
  <sheetViews>
    <sheetView workbookViewId="0">
      <selection activeCell="A2" sqref="A2:A36"/>
    </sheetView>
  </sheetViews>
  <sheetFormatPr baseColWidth="10" defaultRowHeight="12.75" x14ac:dyDescent="0.2"/>
  <sheetData>
    <row r="3" spans="1:1" x14ac:dyDescent="0.2">
      <c r="A3" t="s">
        <v>873</v>
      </c>
    </row>
    <row r="4" spans="1:1" x14ac:dyDescent="0.2">
      <c r="A4" t="s">
        <v>874</v>
      </c>
    </row>
    <row r="5" spans="1:1" x14ac:dyDescent="0.2">
      <c r="A5" t="s">
        <v>875</v>
      </c>
    </row>
    <row r="6" spans="1:1" x14ac:dyDescent="0.2">
      <c r="A6" t="s">
        <v>876</v>
      </c>
    </row>
    <row r="7" spans="1:1" x14ac:dyDescent="0.2">
      <c r="A7" t="s">
        <v>877</v>
      </c>
    </row>
    <row r="8" spans="1:1" x14ac:dyDescent="0.2">
      <c r="A8" t="s">
        <v>878</v>
      </c>
    </row>
    <row r="9" spans="1:1" x14ac:dyDescent="0.2">
      <c r="A9" t="s">
        <v>879</v>
      </c>
    </row>
    <row r="10" spans="1:1" x14ac:dyDescent="0.2">
      <c r="A10" t="s">
        <v>880</v>
      </c>
    </row>
    <row r="11" spans="1:1" x14ac:dyDescent="0.2">
      <c r="A11" t="s">
        <v>881</v>
      </c>
    </row>
    <row r="12" spans="1:1" x14ac:dyDescent="0.2">
      <c r="A12" t="s">
        <v>882</v>
      </c>
    </row>
    <row r="13" spans="1:1" x14ac:dyDescent="0.2">
      <c r="A13" t="s">
        <v>883</v>
      </c>
    </row>
    <row r="14" spans="1:1" x14ac:dyDescent="0.2">
      <c r="A14" t="s">
        <v>884</v>
      </c>
    </row>
    <row r="15" spans="1:1" x14ac:dyDescent="0.2">
      <c r="A15" t="s">
        <v>885</v>
      </c>
    </row>
    <row r="16" spans="1:1" x14ac:dyDescent="0.2">
      <c r="A16" t="s">
        <v>886</v>
      </c>
    </row>
    <row r="17" spans="1:1" x14ac:dyDescent="0.2">
      <c r="A17" t="s">
        <v>887</v>
      </c>
    </row>
    <row r="18" spans="1:1" x14ac:dyDescent="0.2">
      <c r="A18" t="s">
        <v>888</v>
      </c>
    </row>
    <row r="19" spans="1:1" x14ac:dyDescent="0.2">
      <c r="A19" t="s">
        <v>889</v>
      </c>
    </row>
    <row r="20" spans="1:1" x14ac:dyDescent="0.2">
      <c r="A20" t="s">
        <v>890</v>
      </c>
    </row>
    <row r="21" spans="1:1" x14ac:dyDescent="0.2">
      <c r="A21" t="s">
        <v>891</v>
      </c>
    </row>
    <row r="22" spans="1:1" x14ac:dyDescent="0.2">
      <c r="A22" t="s">
        <v>892</v>
      </c>
    </row>
    <row r="23" spans="1:1" x14ac:dyDescent="0.2">
      <c r="A23" t="s">
        <v>893</v>
      </c>
    </row>
    <row r="24" spans="1:1" x14ac:dyDescent="0.2">
      <c r="A24" t="s">
        <v>894</v>
      </c>
    </row>
    <row r="25" spans="1:1" x14ac:dyDescent="0.2">
      <c r="A25" t="s">
        <v>895</v>
      </c>
    </row>
    <row r="26" spans="1:1" x14ac:dyDescent="0.2">
      <c r="A26" t="s">
        <v>896</v>
      </c>
    </row>
    <row r="27" spans="1:1" x14ac:dyDescent="0.2">
      <c r="A27" t="s">
        <v>897</v>
      </c>
    </row>
    <row r="28" spans="1:1" x14ac:dyDescent="0.2">
      <c r="A28" t="s">
        <v>898</v>
      </c>
    </row>
    <row r="29" spans="1:1" x14ac:dyDescent="0.2">
      <c r="A29" t="s">
        <v>899</v>
      </c>
    </row>
    <row r="30" spans="1:1" x14ac:dyDescent="0.2">
      <c r="A30" t="s">
        <v>900</v>
      </c>
    </row>
    <row r="31" spans="1:1" x14ac:dyDescent="0.2">
      <c r="A31" t="s">
        <v>901</v>
      </c>
    </row>
    <row r="32" spans="1:1" x14ac:dyDescent="0.2">
      <c r="A32" t="s">
        <v>902</v>
      </c>
    </row>
    <row r="33" spans="1:1" x14ac:dyDescent="0.2">
      <c r="A33" t="s">
        <v>903</v>
      </c>
    </row>
    <row r="34" spans="1:1" x14ac:dyDescent="0.2">
      <c r="A34" t="s">
        <v>904</v>
      </c>
    </row>
    <row r="35" spans="1:1" x14ac:dyDescent="0.2">
      <c r="A35" t="s">
        <v>905</v>
      </c>
    </row>
    <row r="36" spans="1:1" x14ac:dyDescent="0.2">
      <c r="A36" t="s">
        <v>906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AH88"/>
  <sheetViews>
    <sheetView showGridLines="0" topLeftCell="A73" zoomScaleNormal="100" workbookViewId="0">
      <selection activeCell="T38" sqref="T38"/>
    </sheetView>
  </sheetViews>
  <sheetFormatPr baseColWidth="10" defaultRowHeight="12.75" x14ac:dyDescent="0.2"/>
  <cols>
    <col min="1" max="8" width="2.7109375" customWidth="1"/>
    <col min="9" max="9" width="6.140625" customWidth="1"/>
    <col min="10" max="22" width="2.7109375" customWidth="1"/>
    <col min="23" max="23" width="4.7109375" customWidth="1"/>
    <col min="24" max="32" width="2.7109375" customWidth="1"/>
    <col min="33" max="33" width="11.42578125" style="56" customWidth="1"/>
  </cols>
  <sheetData>
    <row r="1" spans="1:34" ht="15.75" x14ac:dyDescent="0.25">
      <c r="A1" s="687" t="s">
        <v>919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87"/>
      <c r="S1" s="687"/>
      <c r="T1" s="687"/>
      <c r="U1" s="687"/>
      <c r="V1" s="687"/>
      <c r="W1" s="687"/>
      <c r="X1" s="687"/>
      <c r="Y1" s="687"/>
      <c r="Z1" s="687"/>
      <c r="AA1" s="687"/>
      <c r="AB1" s="687"/>
      <c r="AC1" s="687"/>
      <c r="AD1" s="6"/>
      <c r="AE1" s="688">
        <f>AnmeldeNummer</f>
        <v>0</v>
      </c>
      <c r="AF1" s="689"/>
    </row>
    <row r="2" spans="1:34" ht="15.75" x14ac:dyDescent="0.25">
      <c r="A2" s="692" t="s">
        <v>148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692"/>
      <c r="W2" s="692"/>
      <c r="X2" s="692"/>
      <c r="Y2" s="692"/>
      <c r="Z2" s="692"/>
      <c r="AA2" s="692"/>
      <c r="AB2" s="692"/>
      <c r="AC2" s="692"/>
      <c r="AD2" s="6"/>
      <c r="AE2" s="690"/>
      <c r="AF2" s="691"/>
    </row>
    <row r="3" spans="1:3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02" t="str">
        <f>IF(neufass=0,"","Neue Fassung")</f>
        <v/>
      </c>
      <c r="V3" s="567"/>
      <c r="W3" s="567"/>
      <c r="X3" s="697" t="str">
        <f>IF(neufass=0,"",neufass)</f>
        <v/>
      </c>
      <c r="Y3" s="698"/>
      <c r="Z3" s="698"/>
      <c r="AA3" s="699"/>
      <c r="AB3" s="6"/>
      <c r="AC3" s="6"/>
      <c r="AD3" s="6"/>
      <c r="AE3" s="696" t="s">
        <v>110</v>
      </c>
      <c r="AF3" s="696"/>
    </row>
    <row r="4" spans="1:34" x14ac:dyDescent="0.2">
      <c r="A4" s="14" t="s">
        <v>816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703"/>
      <c r="V4" s="704"/>
      <c r="W4" s="704"/>
      <c r="X4" s="700"/>
      <c r="Y4" s="700"/>
      <c r="Z4" s="700"/>
      <c r="AA4" s="701"/>
      <c r="AB4" s="6"/>
      <c r="AC4" s="693">
        <f>Anmeldeingang</f>
        <v>0</v>
      </c>
      <c r="AD4" s="694"/>
      <c r="AE4" s="694"/>
      <c r="AF4" s="695"/>
    </row>
    <row r="5" spans="1:34" x14ac:dyDescent="0.2">
      <c r="A5" s="8" t="s">
        <v>111</v>
      </c>
      <c r="B5" s="6"/>
      <c r="C5" s="6"/>
      <c r="D5" s="6"/>
      <c r="E5" s="66"/>
      <c r="F5" s="66"/>
      <c r="G5" s="66"/>
      <c r="H5" s="705">
        <f>Tname</f>
        <v>0</v>
      </c>
      <c r="I5" s="705"/>
      <c r="J5" s="705"/>
      <c r="K5" s="705"/>
      <c r="L5" s="705"/>
      <c r="M5" s="705"/>
      <c r="N5" s="705"/>
      <c r="O5" s="705"/>
      <c r="P5" s="705"/>
      <c r="Q5" s="705"/>
      <c r="R5" s="705"/>
      <c r="S5" s="705"/>
      <c r="T5" s="705"/>
      <c r="U5" s="705"/>
      <c r="V5" s="705"/>
      <c r="W5" s="705"/>
      <c r="X5" s="705"/>
      <c r="Y5" s="705"/>
      <c r="Z5" s="705"/>
      <c r="AA5" s="66"/>
      <c r="AB5" s="67"/>
      <c r="AC5" s="696"/>
      <c r="AD5" s="696"/>
      <c r="AE5" s="696"/>
      <c r="AF5" s="696"/>
    </row>
    <row r="6" spans="1:34" x14ac:dyDescent="0.2">
      <c r="A6" s="8" t="s">
        <v>112</v>
      </c>
      <c r="B6" s="6"/>
      <c r="C6" s="6"/>
      <c r="D6" s="6"/>
      <c r="E6" s="66"/>
      <c r="F6" s="66"/>
      <c r="G6" s="66"/>
      <c r="H6" s="705" t="str">
        <f>Anspranrede&amp;" "&amp;ansprvorname&amp;" "&amp;Ansprname</f>
        <v xml:space="preserve">  </v>
      </c>
      <c r="I6" s="705"/>
      <c r="J6" s="705"/>
      <c r="K6" s="705"/>
      <c r="L6" s="705"/>
      <c r="M6" s="705"/>
      <c r="N6" s="705"/>
      <c r="O6" s="705"/>
      <c r="P6" s="705"/>
      <c r="Q6" s="705"/>
      <c r="R6" s="705"/>
      <c r="S6" s="705"/>
      <c r="T6" s="705"/>
      <c r="U6" s="705"/>
      <c r="V6" s="705"/>
      <c r="W6" s="705"/>
      <c r="X6" s="705"/>
      <c r="Y6" s="705"/>
      <c r="Z6" s="705"/>
      <c r="AA6" s="705"/>
      <c r="AB6" s="705"/>
      <c r="AC6" s="705"/>
      <c r="AD6" s="705"/>
      <c r="AE6" s="705"/>
      <c r="AF6" s="9"/>
    </row>
    <row r="7" spans="1:34" x14ac:dyDescent="0.2">
      <c r="A7" s="8" t="s">
        <v>113</v>
      </c>
      <c r="B7" s="6"/>
      <c r="C7" s="6"/>
      <c r="D7" s="6"/>
      <c r="E7" s="17" t="s">
        <v>114</v>
      </c>
      <c r="F7" s="7"/>
      <c r="G7" s="71"/>
      <c r="H7" s="712">
        <f>ansprtel</f>
        <v>0</v>
      </c>
      <c r="I7" s="712"/>
      <c r="J7" s="712"/>
      <c r="K7" s="712"/>
      <c r="L7" s="712"/>
      <c r="M7" s="712"/>
      <c r="N7" s="7"/>
      <c r="O7" s="17" t="s">
        <v>115</v>
      </c>
      <c r="P7" s="7"/>
      <c r="Q7" s="7"/>
      <c r="R7" s="705">
        <f>ansprmail</f>
        <v>0</v>
      </c>
      <c r="S7" s="705"/>
      <c r="T7" s="705"/>
      <c r="U7" s="705"/>
      <c r="V7" s="705"/>
      <c r="W7" s="705"/>
      <c r="X7" s="705"/>
      <c r="Y7" s="705"/>
      <c r="Z7" s="705"/>
      <c r="AA7" s="705"/>
      <c r="AB7" s="705"/>
      <c r="AC7" s="705"/>
      <c r="AD7" s="705"/>
      <c r="AE7" s="705"/>
      <c r="AF7" s="9"/>
    </row>
    <row r="8" spans="1:34" x14ac:dyDescent="0.2">
      <c r="A8" s="14" t="s">
        <v>167</v>
      </c>
      <c r="B8" s="11"/>
      <c r="C8" s="11"/>
      <c r="D8" s="11"/>
      <c r="E8" s="11"/>
      <c r="F8" s="11"/>
      <c r="G8" s="11"/>
      <c r="H8" s="11"/>
      <c r="I8" s="11"/>
      <c r="J8" s="11"/>
      <c r="K8" s="776">
        <f>Ueregion</f>
        <v>0</v>
      </c>
      <c r="L8" s="777"/>
      <c r="M8" s="777"/>
      <c r="N8" s="777"/>
      <c r="O8" s="777"/>
      <c r="P8" s="777"/>
      <c r="Q8" s="777"/>
      <c r="R8" s="777"/>
      <c r="S8" s="777"/>
      <c r="T8" s="777"/>
      <c r="U8" s="777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2"/>
    </row>
    <row r="9" spans="1:34" x14ac:dyDescent="0.2">
      <c r="A9" s="8" t="s">
        <v>116</v>
      </c>
      <c r="B9" s="6"/>
      <c r="C9" s="6"/>
      <c r="D9" s="6"/>
      <c r="E9" s="66"/>
      <c r="F9" s="66"/>
      <c r="G9" s="66"/>
      <c r="H9" s="705">
        <f>Ptitel</f>
        <v>0</v>
      </c>
      <c r="I9" s="705"/>
      <c r="J9" s="705"/>
      <c r="K9" s="705"/>
      <c r="L9" s="705"/>
      <c r="M9" s="705"/>
      <c r="N9" s="705"/>
      <c r="O9" s="705"/>
      <c r="P9" s="705"/>
      <c r="Q9" s="705"/>
      <c r="R9" s="705"/>
      <c r="S9" s="705"/>
      <c r="T9" s="705"/>
      <c r="U9" s="705"/>
      <c r="V9" s="705"/>
      <c r="W9" s="705"/>
      <c r="X9" s="705"/>
      <c r="Y9" s="705"/>
      <c r="Z9" s="705"/>
      <c r="AA9" s="705"/>
      <c r="AB9" s="705"/>
      <c r="AC9" s="705"/>
      <c r="AD9" s="705"/>
      <c r="AE9" s="705"/>
      <c r="AF9" s="9"/>
      <c r="AH9" s="56"/>
    </row>
    <row r="10" spans="1:34" x14ac:dyDescent="0.2">
      <c r="A10" s="8" t="s">
        <v>117</v>
      </c>
      <c r="B10" s="6"/>
      <c r="C10" s="6"/>
      <c r="D10" s="6"/>
      <c r="E10" s="17" t="s">
        <v>118</v>
      </c>
      <c r="F10" s="6"/>
      <c r="G10" s="6"/>
      <c r="H10" s="716">
        <f>Beginn</f>
        <v>0</v>
      </c>
      <c r="I10" s="716"/>
      <c r="J10" s="716"/>
      <c r="K10" s="716"/>
      <c r="L10" s="6"/>
      <c r="M10" s="17" t="s">
        <v>119</v>
      </c>
      <c r="N10" s="6"/>
      <c r="O10" s="6"/>
      <c r="P10" s="716">
        <f>Ende</f>
        <v>0</v>
      </c>
      <c r="Q10" s="716"/>
      <c r="R10" s="716"/>
      <c r="S10" s="716"/>
      <c r="T10" s="6"/>
      <c r="U10" s="127" t="s">
        <v>711</v>
      </c>
      <c r="V10" s="6"/>
      <c r="W10" s="147">
        <f>TNpl</f>
        <v>0</v>
      </c>
      <c r="Y10" s="143"/>
      <c r="Z10" s="130" t="s">
        <v>710</v>
      </c>
      <c r="AD10" s="718">
        <f>TNanz</f>
        <v>0</v>
      </c>
      <c r="AE10" s="705"/>
      <c r="AG10" s="169"/>
      <c r="AH10" s="56"/>
    </row>
    <row r="11" spans="1:34" x14ac:dyDescent="0.2">
      <c r="A11" s="8" t="s">
        <v>120</v>
      </c>
      <c r="B11" s="6"/>
      <c r="C11" s="6"/>
      <c r="D11" s="6"/>
      <c r="E11" s="6"/>
      <c r="F11" s="6"/>
      <c r="G11" s="6"/>
      <c r="H11" s="705" t="str">
        <f ca="1">GEK</f>
        <v>Bitte auswählen</v>
      </c>
      <c r="I11" s="705"/>
      <c r="J11" s="705"/>
      <c r="K11" s="705"/>
      <c r="L11" s="705"/>
      <c r="M11" s="705"/>
      <c r="N11" s="705"/>
      <c r="O11" s="705"/>
      <c r="P11" s="705"/>
      <c r="Q11" s="705"/>
      <c r="R11" s="705"/>
      <c r="S11" s="705"/>
      <c r="T11" s="66"/>
      <c r="U11" s="179" t="s">
        <v>765</v>
      </c>
      <c r="V11" s="103"/>
      <c r="W11" s="719">
        <f ca="1">HSOB</f>
        <v>0</v>
      </c>
      <c r="X11" s="667"/>
      <c r="Y11" s="667"/>
      <c r="Z11" s="127"/>
      <c r="AC11" s="6"/>
      <c r="AD11" s="705"/>
      <c r="AE11" s="705"/>
      <c r="AF11" s="717"/>
      <c r="AH11" s="56"/>
    </row>
    <row r="12" spans="1:34" x14ac:dyDescent="0.2">
      <c r="A12" s="8" t="s">
        <v>122</v>
      </c>
      <c r="B12" s="6"/>
      <c r="C12" s="6"/>
      <c r="D12" s="6"/>
      <c r="E12" s="6"/>
      <c r="F12" s="6"/>
      <c r="G12" s="6"/>
      <c r="H12" s="666">
        <f>mastdges+esfges</f>
        <v>0</v>
      </c>
      <c r="I12" s="666"/>
      <c r="J12" s="666"/>
      <c r="K12" s="666"/>
      <c r="L12" s="666"/>
      <c r="M12" s="666"/>
      <c r="N12" s="666"/>
      <c r="O12" s="68"/>
      <c r="U12" s="127" t="s">
        <v>741</v>
      </c>
      <c r="W12" t="str">
        <f>IF(edwdAuswahl=2,"ja","nein")</f>
        <v>nein</v>
      </c>
      <c r="Z12" s="65" t="s">
        <v>121</v>
      </c>
      <c r="AA12" s="66"/>
      <c r="AB12" s="66"/>
      <c r="AC12" s="6"/>
      <c r="AD12" s="705" t="str">
        <f>IF(TNrlpauswahl=0,"",IF(TNrlpauswahl=1,"ja","nein"))</f>
        <v>nein</v>
      </c>
      <c r="AE12" s="705"/>
      <c r="AF12" s="9"/>
      <c r="AH12" s="56"/>
    </row>
    <row r="13" spans="1:34" x14ac:dyDescent="0.2">
      <c r="A13" s="129" t="s">
        <v>869</v>
      </c>
      <c r="B13" s="6"/>
      <c r="C13" s="6"/>
      <c r="D13" s="6"/>
      <c r="E13" s="6"/>
      <c r="F13" s="6"/>
      <c r="G13" s="6"/>
      <c r="H13" s="666" t="e">
        <f>mastd1jahr+esf1jahr</f>
        <v>#REF!</v>
      </c>
      <c r="I13" s="666"/>
      <c r="J13" s="666"/>
      <c r="K13" s="666"/>
      <c r="L13" s="666"/>
      <c r="M13" s="666"/>
      <c r="N13" s="666"/>
      <c r="O13" s="68"/>
      <c r="P13" s="130"/>
      <c r="Q13" s="6"/>
      <c r="R13" s="6"/>
      <c r="S13" s="6"/>
      <c r="T13" s="6"/>
      <c r="U13" s="666"/>
      <c r="V13" s="667"/>
      <c r="W13" s="667"/>
      <c r="X13" s="667"/>
      <c r="Y13" s="144"/>
      <c r="AF13" s="9"/>
    </row>
    <row r="14" spans="1:34" x14ac:dyDescent="0.2">
      <c r="A14" s="129" t="s">
        <v>908</v>
      </c>
      <c r="B14" s="6"/>
      <c r="C14" s="6"/>
      <c r="D14" s="6"/>
      <c r="E14" s="6"/>
      <c r="F14" s="6"/>
      <c r="G14" s="6"/>
      <c r="H14" s="666" t="e">
        <f>esf2jahr+mastd2jahr</f>
        <v>#REF!</v>
      </c>
      <c r="I14" s="667"/>
      <c r="J14" s="144"/>
      <c r="K14" s="144"/>
      <c r="L14" s="144"/>
      <c r="M14" s="144"/>
      <c r="N14" s="144"/>
      <c r="O14" s="68"/>
      <c r="P14" s="748">
        <f>Ueregion</f>
        <v>0</v>
      </c>
      <c r="Q14" s="749"/>
      <c r="R14" s="749"/>
      <c r="S14" s="749"/>
      <c r="T14" s="749"/>
      <c r="U14" s="749"/>
      <c r="V14" s="749"/>
      <c r="W14" s="749"/>
      <c r="X14" s="749"/>
      <c r="Y14" s="144"/>
      <c r="AF14" s="9"/>
    </row>
    <row r="15" spans="1:34" ht="16.5" customHeight="1" x14ac:dyDescent="0.2">
      <c r="A15" s="8"/>
      <c r="B15" s="6"/>
      <c r="C15" s="6"/>
      <c r="D15" s="6"/>
      <c r="E15" s="710"/>
      <c r="F15" s="711"/>
      <c r="G15" s="711"/>
      <c r="H15" s="711"/>
      <c r="I15" s="711"/>
      <c r="J15" s="711"/>
      <c r="K15" s="711"/>
      <c r="L15" s="711"/>
      <c r="M15" s="711"/>
      <c r="N15" s="711"/>
      <c r="O15" s="711"/>
      <c r="P15" s="128" t="s">
        <v>742</v>
      </c>
      <c r="Q15" s="102"/>
      <c r="R15" s="102"/>
      <c r="S15" s="102"/>
      <c r="T15" s="102"/>
      <c r="U15" s="708" t="str">
        <f ca="1">Fansatz</f>
        <v>Bitte auswählen</v>
      </c>
      <c r="V15" s="708"/>
      <c r="W15" s="708"/>
      <c r="X15" s="708"/>
      <c r="Y15" s="708"/>
      <c r="Z15" s="708"/>
      <c r="AA15" s="708"/>
      <c r="AB15" s="708"/>
      <c r="AC15" s="708"/>
      <c r="AD15" s="708"/>
      <c r="AE15" s="708"/>
      <c r="AF15" s="709"/>
    </row>
    <row r="16" spans="1:34" x14ac:dyDescent="0.2">
      <c r="A16" s="140" t="s">
        <v>819</v>
      </c>
      <c r="B16" s="10"/>
      <c r="C16" s="10"/>
      <c r="D16" s="10"/>
      <c r="E16" s="713" t="str">
        <f ca="1">Aktion</f>
        <v>Bitte auswählen</v>
      </c>
      <c r="F16" s="714"/>
      <c r="G16" s="714"/>
      <c r="H16" s="714"/>
      <c r="I16" s="714"/>
      <c r="J16" s="714"/>
      <c r="K16" s="714"/>
      <c r="L16" s="714"/>
      <c r="M16" s="714"/>
      <c r="N16" s="714"/>
      <c r="O16" s="715"/>
      <c r="P16" s="192" t="s">
        <v>123</v>
      </c>
      <c r="Q16" s="30"/>
      <c r="R16" s="30"/>
      <c r="S16" s="30"/>
      <c r="T16" s="117"/>
      <c r="U16" s="632" t="str">
        <f ca="1">ZG</f>
        <v>Bitte auswählen</v>
      </c>
      <c r="V16" s="633"/>
      <c r="W16" s="633"/>
      <c r="X16" s="633"/>
      <c r="Y16" s="633"/>
      <c r="Z16" s="633"/>
      <c r="AA16" s="633"/>
      <c r="AB16" s="633"/>
      <c r="AC16" s="633"/>
      <c r="AD16" s="633"/>
      <c r="AE16" s="633"/>
      <c r="AF16" s="438"/>
    </row>
    <row r="17" spans="1:34" ht="12.75" customHeight="1" x14ac:dyDescent="0.2">
      <c r="A17" s="14" t="s">
        <v>817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5"/>
      <c r="M17" s="11"/>
      <c r="N17" s="12"/>
      <c r="O17" s="8"/>
      <c r="P17" s="193"/>
      <c r="Q17" s="193"/>
      <c r="R17" s="193"/>
      <c r="S17" s="193"/>
      <c r="T17" s="193"/>
      <c r="U17" s="193"/>
      <c r="V17" s="193"/>
      <c r="W17" s="193"/>
      <c r="X17" s="190"/>
      <c r="Y17" s="4" t="s">
        <v>843</v>
      </c>
      <c r="Z17" s="4"/>
      <c r="AA17" s="4"/>
      <c r="AB17" s="4"/>
      <c r="AC17" s="4"/>
      <c r="AD17" s="4"/>
      <c r="AE17" s="4"/>
      <c r="AF17" s="9"/>
    </row>
    <row r="18" spans="1:34" ht="19.5" customHeight="1" x14ac:dyDescent="0.2">
      <c r="A18" s="706" t="s">
        <v>371</v>
      </c>
      <c r="B18" s="707"/>
      <c r="C18" s="707"/>
      <c r="D18" s="707"/>
      <c r="E18" s="10"/>
      <c r="F18" s="10"/>
      <c r="G18" s="10"/>
      <c r="H18" s="10"/>
      <c r="I18" s="10"/>
      <c r="J18" s="10"/>
      <c r="K18" s="10"/>
      <c r="L18" s="10"/>
      <c r="M18" s="10"/>
      <c r="N18" s="116"/>
      <c r="O18" s="13"/>
      <c r="P18" s="194"/>
      <c r="Q18" s="195"/>
      <c r="R18" s="195"/>
      <c r="S18" s="195"/>
      <c r="T18" s="195"/>
      <c r="U18" s="195"/>
      <c r="V18" s="195"/>
      <c r="W18" s="195"/>
      <c r="X18" s="189"/>
      <c r="Y18" s="191"/>
      <c r="Z18" s="191"/>
      <c r="AA18" s="191"/>
      <c r="AB18" s="191"/>
      <c r="AC18" s="191"/>
      <c r="AD18" s="191"/>
      <c r="AE18" s="191"/>
      <c r="AF18" s="116"/>
      <c r="AH18" s="286"/>
    </row>
    <row r="19" spans="1:34" x14ac:dyDescent="0.2">
      <c r="A19" s="25" t="s">
        <v>166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AF19" s="28"/>
    </row>
    <row r="20" spans="1:34" x14ac:dyDescent="0.2">
      <c r="A20" s="27" t="s">
        <v>362</v>
      </c>
      <c r="I20" s="166" t="str">
        <f>IF(Anmeldeingang=0,"",IF(Anmeldeingang&gt;FristEingang,"nein", "ja"))</f>
        <v/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8"/>
    </row>
    <row r="21" spans="1:34" x14ac:dyDescent="0.2">
      <c r="A21" s="27" t="s">
        <v>124</v>
      </c>
      <c r="H21" s="720" t="str">
        <f>IF(AND(Beginn&gt;=FProjBeginn, Beginn&lt;=SProjBeginn),"ja","nein")</f>
        <v>nein</v>
      </c>
      <c r="I21" s="720"/>
      <c r="K21" s="29"/>
      <c r="L21" s="29"/>
      <c r="M21" s="29"/>
      <c r="N21" s="29"/>
      <c r="O21" s="29"/>
      <c r="P21" s="29"/>
      <c r="Q21" s="29"/>
      <c r="R21" s="29"/>
      <c r="S21" s="29"/>
      <c r="T21" s="721"/>
      <c r="U21" s="722"/>
      <c r="V21" s="723"/>
      <c r="W21" s="29"/>
      <c r="X21" s="29"/>
      <c r="Y21" s="29"/>
      <c r="Z21" s="29"/>
      <c r="AA21" s="29"/>
      <c r="AB21" s="29"/>
      <c r="AC21" s="29"/>
      <c r="AD21" s="29"/>
      <c r="AE21" s="29"/>
      <c r="AF21" s="28"/>
    </row>
    <row r="22" spans="1:34" ht="18" customHeight="1" x14ac:dyDescent="0.2">
      <c r="A22" s="185" t="s">
        <v>818</v>
      </c>
      <c r="H22" t="s">
        <v>125</v>
      </c>
      <c r="K22" t="s">
        <v>126</v>
      </c>
      <c r="AF22" s="28"/>
    </row>
    <row r="23" spans="1:34" ht="18" customHeight="1" x14ac:dyDescent="0.2">
      <c r="A23" s="27"/>
      <c r="O23" s="127" t="s">
        <v>808</v>
      </c>
      <c r="AF23" s="28"/>
    </row>
    <row r="24" spans="1:34" ht="20.25" customHeight="1" x14ac:dyDescent="0.2">
      <c r="A24" s="665"/>
      <c r="B24" s="633"/>
      <c r="C24" s="633"/>
      <c r="N24" t="s">
        <v>742</v>
      </c>
      <c r="AF24" s="28"/>
    </row>
    <row r="25" spans="1:34" ht="19.5" customHeight="1" x14ac:dyDescent="0.2">
      <c r="A25" s="27" t="s">
        <v>130</v>
      </c>
      <c r="H25" t="s">
        <v>127</v>
      </c>
      <c r="K25" t="s">
        <v>128</v>
      </c>
      <c r="AF25" s="28"/>
    </row>
    <row r="26" spans="1:34" ht="13.5" customHeight="1" x14ac:dyDescent="0.2">
      <c r="A26" s="779" t="s">
        <v>859</v>
      </c>
      <c r="B26" s="780"/>
      <c r="C26" s="780"/>
      <c r="D26" s="780"/>
      <c r="E26" s="780"/>
      <c r="F26" s="780"/>
      <c r="G26" s="780"/>
      <c r="H26" s="780"/>
      <c r="I26" s="780"/>
      <c r="J26" s="61"/>
      <c r="K26" s="5" t="s">
        <v>187</v>
      </c>
      <c r="L26" s="5"/>
      <c r="M26" s="5"/>
      <c r="N26" s="741" t="s">
        <v>188</v>
      </c>
      <c r="O26" s="741"/>
      <c r="P26" s="741" t="s">
        <v>145</v>
      </c>
      <c r="Q26" s="741" t="s">
        <v>133</v>
      </c>
      <c r="R26" s="60"/>
      <c r="S26" s="60" t="s">
        <v>189</v>
      </c>
      <c r="T26" s="5"/>
      <c r="U26" s="685" t="s">
        <v>185</v>
      </c>
      <c r="V26" s="653"/>
      <c r="W26" s="653"/>
      <c r="X26" s="653"/>
      <c r="Y26" s="653"/>
      <c r="Z26" s="653"/>
      <c r="AA26" s="653"/>
      <c r="AB26" s="653"/>
      <c r="AC26" s="653"/>
      <c r="AD26" s="653"/>
      <c r="AE26" s="653"/>
      <c r="AF26" s="686"/>
    </row>
    <row r="27" spans="1:34" ht="24.75" customHeight="1" x14ac:dyDescent="0.2">
      <c r="A27" s="662" t="s">
        <v>861</v>
      </c>
      <c r="B27" s="663"/>
      <c r="C27" s="663"/>
      <c r="D27" s="663"/>
      <c r="E27" s="663"/>
      <c r="F27" s="663"/>
      <c r="G27" s="663"/>
      <c r="H27" s="663"/>
      <c r="I27" s="663"/>
      <c r="J27" s="663"/>
      <c r="K27" s="663"/>
      <c r="L27" s="663"/>
      <c r="U27" s="649"/>
      <c r="V27" s="650"/>
      <c r="W27" s="650"/>
      <c r="X27" s="650"/>
      <c r="Y27" s="650"/>
      <c r="Z27" s="650"/>
      <c r="AA27" s="650"/>
      <c r="AB27" s="650"/>
      <c r="AC27" s="650"/>
      <c r="AD27" s="650"/>
      <c r="AE27" s="650"/>
      <c r="AF27" s="651"/>
    </row>
    <row r="28" spans="1:34" ht="19.149999999999999" customHeight="1" x14ac:dyDescent="0.2">
      <c r="A28" s="790" t="s">
        <v>862</v>
      </c>
      <c r="B28" s="791"/>
      <c r="C28" s="791"/>
      <c r="D28" s="791"/>
      <c r="E28" s="791"/>
      <c r="F28" s="791"/>
      <c r="G28" s="791"/>
      <c r="H28" s="791"/>
      <c r="I28" s="791"/>
      <c r="J28" s="791"/>
      <c r="K28" s="791"/>
      <c r="L28" s="791"/>
      <c r="M28" s="5"/>
      <c r="N28" s="5"/>
      <c r="O28" s="5"/>
      <c r="P28" s="5"/>
      <c r="Q28" s="5"/>
      <c r="R28" s="5"/>
      <c r="S28" s="5"/>
      <c r="T28" s="70"/>
      <c r="U28" s="649"/>
      <c r="V28" s="650"/>
      <c r="W28" s="650"/>
      <c r="X28" s="650"/>
      <c r="Y28" s="650"/>
      <c r="Z28" s="650"/>
      <c r="AA28" s="650"/>
      <c r="AB28" s="650"/>
      <c r="AC28" s="650"/>
      <c r="AD28" s="650"/>
      <c r="AE28" s="650"/>
      <c r="AF28" s="651"/>
    </row>
    <row r="29" spans="1:34" ht="18.600000000000001" customHeight="1" x14ac:dyDescent="0.2">
      <c r="A29" s="671" t="s">
        <v>863</v>
      </c>
      <c r="B29" s="672"/>
      <c r="C29" s="672"/>
      <c r="D29" s="672"/>
      <c r="E29" s="672"/>
      <c r="F29" s="672"/>
      <c r="G29" s="672"/>
      <c r="H29" s="672"/>
      <c r="I29" s="672"/>
      <c r="J29" s="672"/>
      <c r="K29" s="672"/>
      <c r="L29" s="672"/>
      <c r="M29" s="26"/>
      <c r="N29" s="26"/>
      <c r="O29" s="26"/>
      <c r="P29" s="26"/>
      <c r="Q29" s="26"/>
      <c r="R29" s="26"/>
      <c r="S29" s="26"/>
      <c r="T29" s="26"/>
      <c r="U29" s="647"/>
      <c r="V29" s="567"/>
      <c r="W29" s="567"/>
      <c r="X29" s="567"/>
      <c r="Y29" s="567"/>
      <c r="Z29" s="567"/>
      <c r="AA29" s="567"/>
      <c r="AB29" s="567"/>
      <c r="AC29" s="567"/>
      <c r="AD29" s="567"/>
      <c r="AE29" s="567"/>
      <c r="AF29" s="568"/>
    </row>
    <row r="30" spans="1:34" ht="22.9" customHeight="1" x14ac:dyDescent="0.2">
      <c r="A30" s="671" t="s">
        <v>870</v>
      </c>
      <c r="B30" s="672"/>
      <c r="C30" s="672"/>
      <c r="D30" s="672"/>
      <c r="E30" s="672"/>
      <c r="F30" s="672"/>
      <c r="G30" s="672"/>
      <c r="H30" s="672"/>
      <c r="I30" s="672"/>
      <c r="J30" s="672"/>
      <c r="K30" s="672"/>
      <c r="L30" s="672"/>
      <c r="M30" s="26"/>
      <c r="N30" s="26"/>
      <c r="O30" s="26"/>
      <c r="P30" s="26"/>
      <c r="Q30" s="26"/>
      <c r="R30" s="26"/>
      <c r="S30" s="26"/>
      <c r="T30" s="26"/>
      <c r="U30" s="647"/>
      <c r="V30" s="567"/>
      <c r="W30" s="567"/>
      <c r="X30" s="567"/>
      <c r="Y30" s="567"/>
      <c r="Z30" s="567"/>
      <c r="AA30" s="567"/>
      <c r="AB30" s="567"/>
      <c r="AC30" s="567"/>
      <c r="AD30" s="567"/>
      <c r="AE30" s="567"/>
      <c r="AF30" s="568"/>
    </row>
    <row r="31" spans="1:34" ht="25.5" customHeight="1" x14ac:dyDescent="0.2">
      <c r="A31" s="673" t="s">
        <v>179</v>
      </c>
      <c r="B31" s="674"/>
      <c r="C31" s="674"/>
      <c r="D31" s="674"/>
      <c r="E31" s="674"/>
      <c r="F31" s="674"/>
      <c r="G31" s="674"/>
      <c r="H31" s="674"/>
      <c r="I31" s="674"/>
      <c r="J31" s="674"/>
      <c r="K31" s="674"/>
      <c r="L31" s="674"/>
      <c r="M31" s="674"/>
      <c r="N31" s="674"/>
      <c r="O31" s="674"/>
      <c r="P31" s="674"/>
      <c r="Q31" s="674"/>
      <c r="R31" s="674"/>
      <c r="S31" s="674"/>
      <c r="T31" s="674"/>
      <c r="U31" s="674"/>
      <c r="V31" s="674"/>
      <c r="W31" s="674"/>
      <c r="X31" s="674"/>
      <c r="Y31" s="674"/>
      <c r="Z31" s="674"/>
      <c r="AA31" s="674"/>
      <c r="AB31" s="674"/>
      <c r="AC31" s="674"/>
      <c r="AD31" s="674"/>
      <c r="AE31" s="674"/>
      <c r="AF31" s="675"/>
    </row>
    <row r="32" spans="1:34" ht="25.5" customHeight="1" x14ac:dyDescent="0.2">
      <c r="A32" s="131" t="s">
        <v>131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Z32" s="74"/>
      <c r="AA32" s="74"/>
      <c r="AB32" s="74"/>
      <c r="AD32" s="74"/>
      <c r="AE32" s="74"/>
      <c r="AF32" s="132"/>
    </row>
    <row r="33" spans="1:32" ht="18.75" customHeight="1" x14ac:dyDescent="0.2">
      <c r="A33" s="76" t="s">
        <v>369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661"/>
      <c r="M33" s="661"/>
      <c r="N33" s="661"/>
      <c r="O33" s="661"/>
      <c r="P33" s="661"/>
      <c r="Q33" s="661"/>
      <c r="R33" s="661"/>
      <c r="S33" s="661"/>
      <c r="T33" s="661"/>
      <c r="U33" s="77"/>
      <c r="V33" s="77" t="s">
        <v>141</v>
      </c>
      <c r="W33" s="77"/>
      <c r="X33" s="724"/>
      <c r="Y33" s="724"/>
      <c r="Z33" s="724"/>
      <c r="AA33" s="725"/>
      <c r="AB33" s="77"/>
      <c r="AC33" s="77"/>
      <c r="AD33" s="77"/>
      <c r="AE33" s="77"/>
      <c r="AF33" s="78"/>
    </row>
    <row r="34" spans="1:32" ht="20.25" customHeight="1" x14ac:dyDescent="0.25">
      <c r="A34" s="750" t="s">
        <v>366</v>
      </c>
      <c r="B34" s="653"/>
      <c r="C34" s="653"/>
      <c r="D34" s="653"/>
      <c r="E34" s="653"/>
      <c r="F34" s="653"/>
      <c r="G34" s="653"/>
      <c r="H34" s="653"/>
      <c r="I34" s="653"/>
      <c r="J34" s="653"/>
      <c r="K34" s="653"/>
      <c r="L34" s="653"/>
      <c r="M34" s="653"/>
      <c r="N34" s="653"/>
      <c r="O34" s="653"/>
      <c r="P34" s="653"/>
      <c r="Q34" s="653"/>
      <c r="R34" s="653"/>
      <c r="S34" s="653"/>
      <c r="T34" s="653"/>
      <c r="U34" s="653"/>
      <c r="V34" s="5"/>
      <c r="W34" s="5"/>
      <c r="X34" s="670" t="s">
        <v>365</v>
      </c>
      <c r="Y34" s="670"/>
      <c r="Z34" s="670"/>
      <c r="AA34" s="670"/>
      <c r="AB34" s="670"/>
      <c r="AC34" s="734">
        <f>Bewertungspunkte</f>
        <v>0</v>
      </c>
      <c r="AD34" s="734"/>
      <c r="AE34" s="734"/>
      <c r="AF34" s="735"/>
    </row>
    <row r="35" spans="1:32" ht="20.25" customHeight="1" x14ac:dyDescent="0.2">
      <c r="A35" s="750" t="s">
        <v>38</v>
      </c>
      <c r="B35" s="653"/>
      <c r="C35" s="653"/>
      <c r="D35" s="653"/>
      <c r="E35" s="653"/>
      <c r="F35" s="653"/>
      <c r="G35" s="653"/>
      <c r="H35" s="653"/>
      <c r="I35" s="5"/>
      <c r="J35" s="652" t="str">
        <f>IF(BewertungBS=2, "Projekt kann empfohlen werden.",IF(BewertungBS=1,"Projekt kann nicht empfohlen werden.",IF(BewertungBS=3,"Projekt kann unter Vorbehalt empfohlen werden"," ")))</f>
        <v xml:space="preserve"> </v>
      </c>
      <c r="K35" s="653"/>
      <c r="L35" s="653"/>
      <c r="M35" s="653"/>
      <c r="N35" s="653"/>
      <c r="O35" s="653"/>
      <c r="P35" s="653"/>
      <c r="Q35" s="653"/>
      <c r="R35" s="653"/>
      <c r="S35" s="653"/>
      <c r="T35" s="653"/>
      <c r="U35" s="653"/>
      <c r="V35" s="653"/>
      <c r="W35" s="653"/>
      <c r="X35" s="653"/>
      <c r="Y35" s="653"/>
      <c r="Z35" s="653"/>
      <c r="AA35" s="653"/>
      <c r="AB35" s="653"/>
      <c r="AC35" s="653"/>
      <c r="AD35" s="5"/>
      <c r="AE35" s="5"/>
      <c r="AF35" s="70"/>
    </row>
    <row r="36" spans="1:32" ht="63.75" customHeight="1" x14ac:dyDescent="0.2">
      <c r="A36" s="751" t="s">
        <v>678</v>
      </c>
      <c r="B36" s="752"/>
      <c r="C36" s="752"/>
      <c r="D36" s="752"/>
      <c r="E36" s="752"/>
      <c r="F36" s="752"/>
      <c r="G36" s="752"/>
      <c r="H36" s="752"/>
      <c r="I36" s="752"/>
      <c r="J36" s="752"/>
      <c r="K36" s="752"/>
      <c r="L36" s="752"/>
      <c r="M36" s="752"/>
      <c r="N36" s="752"/>
      <c r="O36" s="752"/>
      <c r="P36" s="752"/>
      <c r="Q36" s="752"/>
      <c r="R36" s="752"/>
      <c r="S36" s="752"/>
      <c r="T36" s="752"/>
      <c r="U36" s="752"/>
      <c r="V36" s="752"/>
      <c r="W36" s="752"/>
      <c r="X36" s="752"/>
      <c r="Y36" s="752"/>
      <c r="Z36" s="752"/>
      <c r="AA36" s="752"/>
      <c r="AB36" s="752"/>
      <c r="AC36" s="752"/>
      <c r="AD36" s="752"/>
      <c r="AE36" s="752"/>
      <c r="AF36" s="753"/>
    </row>
    <row r="37" spans="1:32" ht="17.25" customHeight="1" x14ac:dyDescent="0.2">
      <c r="A37" s="73" t="s">
        <v>177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676"/>
      <c r="Q37" s="676"/>
      <c r="R37" s="676"/>
      <c r="S37" s="676"/>
      <c r="T37" s="74"/>
      <c r="U37" s="74"/>
      <c r="V37" s="648"/>
      <c r="W37" s="648"/>
      <c r="X37" s="648"/>
      <c r="Y37" s="74"/>
      <c r="Z37" s="664"/>
      <c r="AA37" s="648"/>
      <c r="AB37" s="648"/>
      <c r="AC37" s="654" t="str">
        <f>IF(Prioauswahl=1,"Prio 1", IF(Prioauswahl=2, "Prio 0", IF(Prioauswahl=5, "Prio 1 unter Vorbehalt"," ")))</f>
        <v xml:space="preserve"> </v>
      </c>
      <c r="AD37" s="655"/>
      <c r="AE37" s="655"/>
      <c r="AF37" s="656"/>
    </row>
    <row r="38" spans="1:32" ht="18" customHeight="1" x14ac:dyDescent="0.2">
      <c r="A38" s="72" t="s">
        <v>178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9"/>
      <c r="AC38" s="657"/>
      <c r="AD38" s="657"/>
      <c r="AE38" s="657"/>
      <c r="AF38" s="658"/>
    </row>
    <row r="39" spans="1:32" ht="18" customHeight="1" x14ac:dyDescent="0.2">
      <c r="A39" s="72" t="s">
        <v>363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677"/>
      <c r="O39" s="677"/>
      <c r="P39" s="58"/>
      <c r="Q39" s="58"/>
      <c r="R39" s="58"/>
      <c r="S39" s="58"/>
      <c r="T39" s="58"/>
      <c r="U39" s="58"/>
      <c r="V39" s="58"/>
      <c r="W39" s="58"/>
      <c r="X39" s="58"/>
      <c r="Y39" s="59"/>
      <c r="AC39" s="659"/>
      <c r="AD39" s="659"/>
      <c r="AE39" s="659"/>
      <c r="AF39" s="660"/>
    </row>
    <row r="40" spans="1:32" ht="52.5" customHeight="1" x14ac:dyDescent="0.2">
      <c r="A40" s="737" t="s">
        <v>662</v>
      </c>
      <c r="B40" s="633"/>
      <c r="C40" s="633"/>
      <c r="D40" s="633"/>
      <c r="E40" s="633"/>
      <c r="F40" s="633"/>
      <c r="G40" s="633"/>
      <c r="H40" s="633"/>
      <c r="I40" s="633"/>
      <c r="J40" s="633"/>
      <c r="K40" s="633"/>
      <c r="L40" s="633"/>
      <c r="M40" s="633"/>
      <c r="N40" s="633"/>
      <c r="O40" s="633"/>
      <c r="P40" s="633"/>
      <c r="Q40" s="633"/>
      <c r="R40" s="633"/>
      <c r="S40" s="633"/>
      <c r="T40" s="633"/>
      <c r="U40" s="633"/>
      <c r="V40" s="633"/>
      <c r="W40" s="633"/>
      <c r="X40" s="633"/>
      <c r="Y40" s="633"/>
      <c r="Z40" s="633"/>
      <c r="AA40" s="633"/>
      <c r="AB40" s="633"/>
      <c r="AC40" s="633"/>
      <c r="AD40" s="633"/>
      <c r="AE40" s="633"/>
      <c r="AF40" s="438"/>
    </row>
    <row r="41" spans="1:32" ht="6" customHeight="1" x14ac:dyDescent="0.2">
      <c r="A41" s="665"/>
      <c r="B41" s="633"/>
      <c r="C41" s="633"/>
      <c r="D41" s="633"/>
      <c r="E41" s="633"/>
      <c r="F41" s="633"/>
      <c r="G41" s="633"/>
      <c r="H41" s="633"/>
      <c r="I41" s="633"/>
      <c r="J41" s="633"/>
      <c r="K41" s="633"/>
      <c r="L41" s="633"/>
      <c r="M41" s="633"/>
      <c r="N41" s="633"/>
      <c r="O41" s="633"/>
      <c r="P41" s="633"/>
      <c r="Q41" s="633"/>
      <c r="R41" s="633"/>
      <c r="S41" s="633"/>
      <c r="T41" s="633"/>
      <c r="U41" s="633"/>
      <c r="V41" s="633"/>
      <c r="W41" s="633"/>
      <c r="X41" s="633"/>
      <c r="Y41" s="633"/>
      <c r="Z41" s="633"/>
      <c r="AA41" s="633"/>
      <c r="AB41" s="633"/>
      <c r="AC41" s="633"/>
      <c r="AD41" s="633"/>
      <c r="AE41" s="633"/>
      <c r="AF41" s="438"/>
    </row>
    <row r="42" spans="1:32" ht="20.25" customHeight="1" x14ac:dyDescent="0.2">
      <c r="A42" s="73" t="s">
        <v>614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676"/>
      <c r="R42" s="676"/>
      <c r="S42" s="676"/>
      <c r="T42" s="676"/>
      <c r="U42" s="74"/>
      <c r="V42" s="74"/>
      <c r="W42" s="74"/>
      <c r="X42" s="74"/>
      <c r="Y42" s="75"/>
      <c r="Z42" s="75"/>
      <c r="AA42" s="75"/>
      <c r="AB42" s="26"/>
      <c r="AC42" s="681" t="str">
        <f>IF(Prioauswahl=3,"Prio 0",IF(Prioauswahl=4,"Prio 1"," "))</f>
        <v xml:space="preserve"> </v>
      </c>
      <c r="AD42" s="682"/>
      <c r="AE42" s="682"/>
      <c r="AF42" s="683"/>
    </row>
    <row r="43" spans="1:32" ht="55.15" customHeight="1" x14ac:dyDescent="0.2">
      <c r="A43" s="738" t="s">
        <v>588</v>
      </c>
      <c r="B43" s="739"/>
      <c r="C43" s="739"/>
      <c r="D43" s="739"/>
      <c r="E43" s="739"/>
      <c r="F43" s="739"/>
      <c r="G43" s="739"/>
      <c r="H43" s="739"/>
      <c r="I43" s="739"/>
      <c r="J43" s="739"/>
      <c r="K43" s="739"/>
      <c r="L43" s="739"/>
      <c r="M43" s="739"/>
      <c r="N43" s="739"/>
      <c r="O43" s="739"/>
      <c r="P43" s="739"/>
      <c r="Q43" s="739"/>
      <c r="R43" s="739"/>
      <c r="S43" s="739"/>
      <c r="T43" s="739"/>
      <c r="U43" s="704"/>
      <c r="V43" s="704"/>
      <c r="W43" s="704"/>
      <c r="X43" s="704"/>
      <c r="Y43" s="704"/>
      <c r="Z43" s="704"/>
      <c r="AA43" s="704"/>
      <c r="AB43" s="704"/>
      <c r="AC43" s="79"/>
      <c r="AD43" s="79"/>
      <c r="AE43" s="80"/>
      <c r="AF43" s="81"/>
    </row>
    <row r="44" spans="1:32" ht="18" customHeight="1" x14ac:dyDescent="0.2"/>
    <row r="45" spans="1:32" x14ac:dyDescent="0.2">
      <c r="A45" s="30" t="s">
        <v>129</v>
      </c>
      <c r="B45" s="30"/>
      <c r="C45" s="30"/>
      <c r="D45" s="30">
        <f>Tname</f>
        <v>0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 t="s">
        <v>147</v>
      </c>
      <c r="U45" s="30"/>
      <c r="V45" s="727">
        <f>AnmeldeNummer</f>
        <v>0</v>
      </c>
      <c r="W45" s="727"/>
      <c r="X45" s="30"/>
      <c r="Y45" s="30"/>
      <c r="Z45" s="30"/>
      <c r="AA45" s="30"/>
      <c r="AB45" s="30"/>
      <c r="AC45" s="30"/>
      <c r="AD45" s="30"/>
      <c r="AE45" s="30"/>
      <c r="AF45" s="30"/>
    </row>
    <row r="46" spans="1:32" ht="4.5" customHeight="1" x14ac:dyDescent="0.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6"/>
      <c r="W46" s="36"/>
      <c r="X46" s="30"/>
      <c r="Y46" s="30"/>
      <c r="Z46" s="30"/>
      <c r="AA46" s="30"/>
      <c r="AB46" s="30"/>
      <c r="AC46" s="30"/>
      <c r="AD46" s="30"/>
      <c r="AE46" s="30"/>
      <c r="AF46" s="30"/>
    </row>
    <row r="47" spans="1:32" ht="12.75" customHeight="1" x14ac:dyDescent="0.2">
      <c r="A47" s="4" t="s">
        <v>372</v>
      </c>
      <c r="L47" s="633" t="str">
        <f ca="1">IF(ISERROR(VLOOKUP(HSOB,Beraternamen,2,0)),"",VLOOKUP(HSOB,Beraternamen,2,0))</f>
        <v/>
      </c>
      <c r="M47" s="633"/>
      <c r="N47" s="633"/>
      <c r="O47" s="633"/>
      <c r="P47" s="633"/>
      <c r="Q47" s="633"/>
      <c r="R47" s="633"/>
      <c r="S47" s="633"/>
      <c r="T47" s="633"/>
      <c r="U47" s="633"/>
      <c r="V47" s="633"/>
      <c r="W47" s="633"/>
      <c r="X47" s="740"/>
      <c r="Y47" s="740"/>
      <c r="Z47" s="740"/>
      <c r="AA47" s="730"/>
      <c r="AB47" s="745"/>
      <c r="AC47" s="746"/>
      <c r="AD47" s="743"/>
      <c r="AE47" s="744"/>
      <c r="AF47" s="744"/>
    </row>
    <row r="48" spans="1:32" ht="6.75" customHeight="1" x14ac:dyDescent="0.2">
      <c r="X48" s="740"/>
      <c r="Y48" s="740"/>
      <c r="Z48" s="740"/>
      <c r="AA48" s="730"/>
      <c r="AB48" s="746"/>
      <c r="AC48" s="746"/>
      <c r="AD48" s="744"/>
      <c r="AE48" s="744"/>
      <c r="AF48" s="744"/>
    </row>
    <row r="49" spans="1:33" ht="18" customHeight="1" x14ac:dyDescent="0.2">
      <c r="A49" s="4" t="s">
        <v>186</v>
      </c>
      <c r="J49" s="754"/>
      <c r="K49" s="754"/>
      <c r="L49" s="747"/>
      <c r="M49" s="786"/>
      <c r="N49" s="747"/>
      <c r="O49" s="747"/>
      <c r="P49" s="747"/>
      <c r="Q49" s="747"/>
      <c r="R49" s="747"/>
      <c r="S49" s="747"/>
      <c r="T49" s="57"/>
      <c r="V49" s="680"/>
      <c r="W49" s="680"/>
    </row>
    <row r="50" spans="1:33" ht="18" customHeight="1" x14ac:dyDescent="0.2">
      <c r="A50" s="63" t="s">
        <v>184</v>
      </c>
      <c r="B50" s="64"/>
      <c r="C50" s="64"/>
      <c r="D50" s="64"/>
      <c r="E50" s="64"/>
      <c r="F50" s="64"/>
      <c r="G50" s="64"/>
      <c r="H50" s="64"/>
      <c r="I50" s="62"/>
      <c r="J50" s="62"/>
      <c r="K50" s="62"/>
      <c r="L50" s="741" t="s">
        <v>193</v>
      </c>
      <c r="M50" s="741"/>
      <c r="N50" s="5"/>
      <c r="O50" s="756" t="s">
        <v>195</v>
      </c>
      <c r="P50" s="756"/>
      <c r="Q50" s="757"/>
      <c r="R50" s="736" t="s">
        <v>194</v>
      </c>
      <c r="S50" s="736"/>
      <c r="T50" s="650"/>
      <c r="U50" s="5"/>
      <c r="V50" s="5"/>
      <c r="W50" s="5"/>
      <c r="X50" s="5"/>
      <c r="Y50" s="5"/>
      <c r="Z50" s="5"/>
      <c r="AA50" s="5"/>
      <c r="AB50" s="5"/>
      <c r="AC50" s="5"/>
      <c r="AD50" s="652" t="s">
        <v>158</v>
      </c>
      <c r="AE50" s="652"/>
      <c r="AF50" s="755"/>
    </row>
    <row r="51" spans="1:33" s="31" customFormat="1" ht="24.75" customHeight="1" x14ac:dyDescent="0.2">
      <c r="A51" s="742" t="s">
        <v>723</v>
      </c>
      <c r="B51" s="679"/>
      <c r="C51" s="679"/>
      <c r="D51" s="679"/>
      <c r="E51" s="679"/>
      <c r="F51" s="679"/>
      <c r="G51" s="679"/>
      <c r="H51" s="679"/>
      <c r="I51" s="679"/>
      <c r="J51" s="679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678" t="str">
        <f>DOKU_Verk!B8</f>
        <v/>
      </c>
      <c r="V51" s="678"/>
      <c r="W51" s="678"/>
      <c r="X51" s="678"/>
      <c r="Y51" s="678"/>
      <c r="Z51" s="678"/>
      <c r="AA51" s="678"/>
      <c r="AB51" s="678"/>
      <c r="AC51" s="726"/>
      <c r="AD51" s="731">
        <f>DOKU_Verk!A16</f>
        <v>0</v>
      </c>
      <c r="AE51" s="758"/>
      <c r="AF51" s="733"/>
      <c r="AG51" s="134"/>
    </row>
    <row r="52" spans="1:33" s="31" customFormat="1" ht="32.25" customHeight="1" x14ac:dyDescent="0.2">
      <c r="A52" s="742" t="s">
        <v>783</v>
      </c>
      <c r="B52" s="679"/>
      <c r="C52" s="679"/>
      <c r="D52" s="679"/>
      <c r="E52" s="679"/>
      <c r="F52" s="679"/>
      <c r="G52" s="679"/>
      <c r="H52" s="679"/>
      <c r="I52" s="679"/>
      <c r="J52" s="679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678" t="str">
        <f>DOKU_Verk!D8</f>
        <v/>
      </c>
      <c r="V52" s="679"/>
      <c r="W52" s="679"/>
      <c r="X52" s="679"/>
      <c r="Y52" s="679"/>
      <c r="Z52" s="679"/>
      <c r="AA52" s="679"/>
      <c r="AB52" s="679"/>
      <c r="AC52" s="679"/>
      <c r="AD52" s="731">
        <f>DOKU_Verk!B16</f>
        <v>0</v>
      </c>
      <c r="AE52" s="758"/>
      <c r="AF52" s="733"/>
      <c r="AG52" s="134"/>
    </row>
    <row r="53" spans="1:33" s="31" customFormat="1" ht="29.25" customHeight="1" x14ac:dyDescent="0.2">
      <c r="A53" s="742" t="s">
        <v>733</v>
      </c>
      <c r="B53" s="679"/>
      <c r="C53" s="679"/>
      <c r="D53" s="679"/>
      <c r="E53" s="679"/>
      <c r="F53" s="679"/>
      <c r="G53" s="679"/>
      <c r="H53" s="679"/>
      <c r="I53" s="679"/>
      <c r="J53" s="679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678" t="str">
        <f>DOKU_Verk!F8</f>
        <v/>
      </c>
      <c r="V53" s="679"/>
      <c r="W53" s="679"/>
      <c r="X53" s="679"/>
      <c r="Y53" s="679"/>
      <c r="Z53" s="679"/>
      <c r="AA53" s="679"/>
      <c r="AB53" s="679"/>
      <c r="AC53" s="679"/>
      <c r="AD53" s="731">
        <f>DOKU_Verk!C16</f>
        <v>0</v>
      </c>
      <c r="AE53" s="758"/>
      <c r="AF53" s="733"/>
      <c r="AG53" s="134"/>
    </row>
    <row r="54" spans="1:33" s="31" customFormat="1" ht="28.5" customHeight="1" x14ac:dyDescent="0.2">
      <c r="A54" s="742" t="s">
        <v>726</v>
      </c>
      <c r="B54" s="679"/>
      <c r="C54" s="679"/>
      <c r="D54" s="679"/>
      <c r="E54" s="679"/>
      <c r="F54" s="679"/>
      <c r="G54" s="679"/>
      <c r="H54" s="679"/>
      <c r="I54" s="679"/>
      <c r="J54" s="679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678" t="str">
        <f>DOKU_Verk!H8</f>
        <v/>
      </c>
      <c r="V54" s="679"/>
      <c r="W54" s="679"/>
      <c r="X54" s="679"/>
      <c r="Y54" s="679"/>
      <c r="Z54" s="679"/>
      <c r="AA54" s="679"/>
      <c r="AB54" s="679"/>
      <c r="AC54" s="679"/>
      <c r="AD54" s="731">
        <f>DOKU_Verk!D16</f>
        <v>0</v>
      </c>
      <c r="AE54" s="758"/>
      <c r="AF54" s="733"/>
      <c r="AG54" s="134"/>
    </row>
    <row r="55" spans="1:33" s="31" customFormat="1" ht="26.25" customHeight="1" x14ac:dyDescent="0.2">
      <c r="A55" s="742" t="s">
        <v>762</v>
      </c>
      <c r="B55" s="679"/>
      <c r="C55" s="679"/>
      <c r="D55" s="679"/>
      <c r="E55" s="679"/>
      <c r="F55" s="679"/>
      <c r="G55" s="679"/>
      <c r="H55" s="679"/>
      <c r="I55" s="679"/>
      <c r="J55" s="679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678" t="str">
        <f>DOKU_Verk!J8</f>
        <v/>
      </c>
      <c r="V55" s="679"/>
      <c r="W55" s="679"/>
      <c r="X55" s="679"/>
      <c r="Y55" s="679"/>
      <c r="Z55" s="679"/>
      <c r="AA55" s="679"/>
      <c r="AB55" s="679"/>
      <c r="AC55" s="679"/>
      <c r="AD55" s="731">
        <f>DOKU_Verk!E16</f>
        <v>0</v>
      </c>
      <c r="AE55" s="758"/>
      <c r="AF55" s="733"/>
      <c r="AG55" s="134"/>
    </row>
    <row r="56" spans="1:33" s="31" customFormat="1" ht="19.5" customHeight="1" x14ac:dyDescent="0.2">
      <c r="A56" s="84"/>
      <c r="B56" s="83"/>
      <c r="C56" s="83"/>
      <c r="D56" s="83"/>
      <c r="E56" s="83"/>
      <c r="F56" s="83"/>
      <c r="G56" s="83"/>
      <c r="H56" s="83"/>
      <c r="I56" s="83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85"/>
      <c r="V56" s="83"/>
      <c r="W56" s="83"/>
      <c r="X56" s="83"/>
      <c r="Y56" s="789" t="s">
        <v>36</v>
      </c>
      <c r="Z56" s="789"/>
      <c r="AA56" s="789"/>
      <c r="AB56" s="789"/>
      <c r="AC56" s="86"/>
      <c r="AD56" s="800">
        <f>SUM(AD51:AF55)</f>
        <v>0</v>
      </c>
      <c r="AE56" s="801"/>
      <c r="AF56" s="802"/>
      <c r="AG56" s="134"/>
    </row>
    <row r="57" spans="1:33" s="31" customFormat="1" ht="40.5" customHeight="1" x14ac:dyDescent="0.2">
      <c r="A57" s="89" t="s">
        <v>183</v>
      </c>
      <c r="B57" s="90"/>
      <c r="C57" s="90"/>
      <c r="D57" s="90"/>
      <c r="E57" s="90"/>
      <c r="F57" s="90"/>
      <c r="G57" s="90"/>
      <c r="H57" s="91"/>
      <c r="I57" s="91"/>
      <c r="J57" s="91"/>
      <c r="K57" s="91"/>
      <c r="L57" s="91"/>
      <c r="M57" s="91"/>
      <c r="N57" s="91"/>
      <c r="O57" s="774" t="s">
        <v>589</v>
      </c>
      <c r="P57" s="775"/>
      <c r="Q57" s="775"/>
      <c r="R57" s="775"/>
      <c r="S57" s="775"/>
      <c r="T57" s="775"/>
      <c r="U57" s="775"/>
      <c r="V57" s="775"/>
      <c r="W57" s="775"/>
      <c r="X57" s="775"/>
      <c r="Y57" s="775"/>
      <c r="Z57" s="775"/>
      <c r="AA57" s="775"/>
      <c r="AB57" s="775"/>
      <c r="AC57" s="775"/>
      <c r="AD57" s="731">
        <f>DOKU_Verk!J16</f>
        <v>0</v>
      </c>
      <c r="AE57" s="732"/>
      <c r="AF57" s="733"/>
      <c r="AG57" s="134"/>
    </row>
    <row r="58" spans="1:33" s="31" customFormat="1" ht="27.75" customHeight="1" x14ac:dyDescent="0.2">
      <c r="A58" s="787"/>
      <c r="B58" s="788"/>
      <c r="C58" s="788"/>
      <c r="D58" s="788"/>
      <c r="E58" s="788"/>
      <c r="F58" s="788"/>
      <c r="G58" s="788"/>
      <c r="H58" s="77"/>
      <c r="I58" s="77"/>
      <c r="J58" s="77"/>
      <c r="K58" s="77"/>
      <c r="L58" s="77"/>
      <c r="M58" s="77"/>
      <c r="N58" s="77"/>
      <c r="O58" s="87"/>
      <c r="P58" s="88"/>
      <c r="Q58" s="88"/>
      <c r="R58" s="88"/>
      <c r="S58" s="88"/>
      <c r="T58" s="88"/>
      <c r="U58" s="88"/>
      <c r="V58" s="784" t="s">
        <v>37</v>
      </c>
      <c r="W58" s="784"/>
      <c r="X58" s="784"/>
      <c r="Y58" s="784"/>
      <c r="Z58" s="784"/>
      <c r="AA58" s="784"/>
      <c r="AB58" s="784"/>
      <c r="AC58" s="88"/>
      <c r="AD58" s="794">
        <f>SUM(AD56:AF57)</f>
        <v>0</v>
      </c>
      <c r="AE58" s="795"/>
      <c r="AF58" s="796"/>
      <c r="AG58" s="134"/>
    </row>
    <row r="59" spans="1:33" s="31" customFormat="1" ht="74.25" customHeight="1" x14ac:dyDescent="0.2">
      <c r="A59" s="797" t="s">
        <v>590</v>
      </c>
      <c r="B59" s="798"/>
      <c r="C59" s="798"/>
      <c r="D59" s="798"/>
      <c r="E59" s="798"/>
      <c r="F59" s="798"/>
      <c r="G59" s="798"/>
      <c r="H59" s="798"/>
      <c r="I59" s="798"/>
      <c r="J59" s="798"/>
      <c r="K59" s="798"/>
      <c r="L59" s="798"/>
      <c r="M59" s="798"/>
      <c r="N59" s="798"/>
      <c r="O59" s="798"/>
      <c r="P59" s="798"/>
      <c r="Q59" s="798"/>
      <c r="R59" s="798"/>
      <c r="S59" s="798"/>
      <c r="T59" s="798"/>
      <c r="U59" s="798"/>
      <c r="V59" s="798"/>
      <c r="W59" s="798"/>
      <c r="X59" s="798"/>
      <c r="Y59" s="798"/>
      <c r="Z59" s="798"/>
      <c r="AA59" s="798"/>
      <c r="AB59" s="798"/>
      <c r="AC59" s="798"/>
      <c r="AD59" s="798"/>
      <c r="AE59" s="798"/>
      <c r="AF59" s="799"/>
      <c r="AG59" s="134"/>
    </row>
    <row r="60" spans="1:33" ht="30.75" customHeight="1" x14ac:dyDescent="0.2">
      <c r="A60" s="167" t="s">
        <v>132</v>
      </c>
      <c r="B60" s="31"/>
      <c r="C60" s="31"/>
      <c r="D60" s="31"/>
      <c r="E60" s="31"/>
      <c r="F60" s="31"/>
      <c r="G60" s="31"/>
      <c r="H60" s="188" t="s">
        <v>168</v>
      </c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783"/>
      <c r="W60" s="783"/>
      <c r="X60" s="31"/>
      <c r="Y60" s="31"/>
      <c r="Z60" s="31"/>
      <c r="AA60" s="31"/>
      <c r="AB60" s="31"/>
      <c r="AC60" s="31"/>
      <c r="AD60" s="31"/>
      <c r="AE60" s="31"/>
      <c r="AF60" s="168"/>
    </row>
    <row r="61" spans="1:33" ht="9" customHeight="1" x14ac:dyDescent="0.2"/>
    <row r="62" spans="1:33" x14ac:dyDescent="0.2">
      <c r="A62" s="35" t="s">
        <v>368</v>
      </c>
      <c r="B62" s="5"/>
      <c r="C62" s="5"/>
      <c r="D62" s="5"/>
      <c r="E62" s="5"/>
      <c r="F62" s="5"/>
      <c r="G62" s="70"/>
      <c r="H62" s="771" t="s">
        <v>153</v>
      </c>
      <c r="I62" s="772"/>
      <c r="J62" s="772"/>
      <c r="K62" s="772"/>
      <c r="L62" s="772"/>
      <c r="M62" s="772"/>
      <c r="N62" s="772"/>
      <c r="O62" s="772"/>
      <c r="P62" s="772"/>
      <c r="Q62" s="772"/>
      <c r="R62" s="772"/>
      <c r="S62" s="772"/>
      <c r="T62" s="772"/>
      <c r="U62" s="772"/>
      <c r="V62" s="772"/>
      <c r="W62" s="772"/>
      <c r="X62" s="772"/>
      <c r="Y62" s="772"/>
      <c r="Z62" s="772"/>
      <c r="AA62" s="772"/>
      <c r="AB62" s="772"/>
      <c r="AC62" s="772"/>
      <c r="AD62" s="772"/>
      <c r="AE62" s="772"/>
      <c r="AF62" s="773"/>
    </row>
    <row r="63" spans="1:33" x14ac:dyDescent="0.2">
      <c r="A63" s="34" t="s">
        <v>152</v>
      </c>
      <c r="B63" s="5"/>
      <c r="C63" s="5"/>
      <c r="D63" s="5"/>
      <c r="E63" s="5"/>
      <c r="F63" s="5"/>
      <c r="G63" s="728">
        <f>kostges</f>
        <v>0</v>
      </c>
      <c r="H63" s="728"/>
      <c r="I63" s="728"/>
      <c r="J63" s="729"/>
      <c r="K63" s="38"/>
      <c r="L63" s="38"/>
      <c r="M63" s="38" t="s">
        <v>154</v>
      </c>
      <c r="N63" s="38"/>
      <c r="O63" s="38"/>
      <c r="P63" s="38"/>
      <c r="Q63" s="728">
        <f>kostges/Laufzeit</f>
        <v>0</v>
      </c>
      <c r="R63" s="769"/>
      <c r="S63" s="770"/>
      <c r="T63" s="38"/>
      <c r="U63" s="38" t="s">
        <v>155</v>
      </c>
      <c r="V63" s="38"/>
      <c r="W63" s="728" t="str">
        <f>IF(kostges=0,"",SUM(kostges/TNanz))</f>
        <v/>
      </c>
      <c r="X63" s="769"/>
      <c r="Y63" s="770"/>
      <c r="Z63" s="38"/>
      <c r="AA63" s="38" t="s">
        <v>156</v>
      </c>
      <c r="AB63" s="38"/>
      <c r="AC63" s="38"/>
      <c r="AD63" s="728" t="str">
        <f>IF(kostges=0,"",SUM(kostges/TNpl/Laufzeit))</f>
        <v/>
      </c>
      <c r="AE63" s="728"/>
      <c r="AF63" s="729"/>
    </row>
    <row r="64" spans="1:33" x14ac:dyDescent="0.2">
      <c r="A64" s="148" t="s">
        <v>812</v>
      </c>
      <c r="B64" s="5"/>
      <c r="C64" s="5"/>
      <c r="D64" s="5"/>
      <c r="E64" s="5"/>
      <c r="F64" s="5"/>
      <c r="G64" s="728">
        <f>esfges</f>
        <v>0</v>
      </c>
      <c r="H64" s="769"/>
      <c r="I64" s="769"/>
      <c r="J64" s="770"/>
      <c r="K64" s="38"/>
      <c r="L64" s="38"/>
      <c r="M64" s="38" t="s">
        <v>154</v>
      </c>
      <c r="N64" s="38"/>
      <c r="O64" s="38"/>
      <c r="P64" s="38"/>
      <c r="Q64" s="728">
        <f>esfges/Laufzeit</f>
        <v>0</v>
      </c>
      <c r="R64" s="769"/>
      <c r="S64" s="770"/>
      <c r="T64" s="38"/>
      <c r="U64" s="38" t="s">
        <v>155</v>
      </c>
      <c r="V64" s="38"/>
      <c r="W64" s="781" t="str">
        <f>IF(esfges=0,"",SUM(esfges/TNanz))</f>
        <v/>
      </c>
      <c r="X64" s="781"/>
      <c r="Y64" s="782"/>
      <c r="Z64" s="181"/>
      <c r="AA64" s="38" t="s">
        <v>156</v>
      </c>
      <c r="AB64" s="38"/>
      <c r="AC64" s="38"/>
      <c r="AD64" s="728" t="str">
        <f>IF(esfges=0,"",SUM(esfges/TNpl/Laufzeit))</f>
        <v/>
      </c>
      <c r="AE64" s="728"/>
      <c r="AF64" s="729"/>
    </row>
    <row r="65" spans="1:32" x14ac:dyDescent="0.2">
      <c r="A65" s="148" t="s">
        <v>712</v>
      </c>
      <c r="B65" s="5"/>
      <c r="C65" s="5"/>
      <c r="D65" s="5"/>
      <c r="E65" s="5"/>
      <c r="F65" s="5"/>
      <c r="G65" s="728">
        <f>aktivkofi</f>
        <v>0</v>
      </c>
      <c r="H65" s="769"/>
      <c r="I65" s="769"/>
      <c r="J65" s="770"/>
      <c r="K65" s="38"/>
      <c r="L65" s="38"/>
      <c r="M65" s="38" t="s">
        <v>154</v>
      </c>
      <c r="N65" s="38"/>
      <c r="O65" s="38"/>
      <c r="P65" s="38"/>
      <c r="Q65" s="728">
        <f>aktivkofi/Laufzeit</f>
        <v>0</v>
      </c>
      <c r="R65" s="769"/>
      <c r="S65" s="770"/>
      <c r="T65" s="38"/>
      <c r="U65" s="38" t="s">
        <v>155</v>
      </c>
      <c r="V65" s="38"/>
      <c r="W65" s="781" t="str">
        <f>IF(aktivkofi=0,"",SUM(aktivkofi/TNanz))</f>
        <v/>
      </c>
      <c r="X65" s="781"/>
      <c r="Y65" s="782"/>
      <c r="Z65" s="181"/>
      <c r="AA65" s="38" t="s">
        <v>156</v>
      </c>
      <c r="AB65" s="38"/>
      <c r="AC65" s="38"/>
      <c r="AD65" s="728" t="str">
        <f>IF(aktivkofi=0,"",SUM(aktivkofi/TNpl/Laufzeit))</f>
        <v/>
      </c>
      <c r="AE65" s="728"/>
      <c r="AF65" s="729"/>
    </row>
    <row r="66" spans="1:32" ht="12" customHeight="1" x14ac:dyDescent="0.2">
      <c r="A66" s="148" t="s">
        <v>713</v>
      </c>
      <c r="B66" s="5"/>
      <c r="C66" s="5"/>
      <c r="D66" s="5"/>
      <c r="E66" s="5"/>
      <c r="F66" s="5"/>
      <c r="G66" s="728">
        <f>entgeltTNges</f>
        <v>0</v>
      </c>
      <c r="H66" s="769"/>
      <c r="I66" s="769"/>
      <c r="J66" s="770"/>
      <c r="K66" s="38"/>
      <c r="L66" s="38"/>
      <c r="M66" s="38" t="s">
        <v>154</v>
      </c>
      <c r="N66" s="38"/>
      <c r="O66" s="38"/>
      <c r="P66" s="38"/>
      <c r="Q66" s="728">
        <f>entgeltTNges/Laufzeit</f>
        <v>0</v>
      </c>
      <c r="R66" s="769"/>
      <c r="S66" s="770"/>
      <c r="T66" s="38"/>
      <c r="U66" s="38" t="s">
        <v>155</v>
      </c>
      <c r="V66" s="38"/>
      <c r="W66" s="781" t="str">
        <f>IF(entgeltTNges=0,"",SUM(entgeltTNges/TNanz))</f>
        <v/>
      </c>
      <c r="X66" s="781"/>
      <c r="Y66" s="782"/>
      <c r="Z66" s="181"/>
      <c r="AA66" s="38" t="s">
        <v>156</v>
      </c>
      <c r="AB66" s="38"/>
      <c r="AC66" s="38"/>
      <c r="AD66" s="728" t="str">
        <f>IF(entgeltTNges=0,"",SUM(entgeltTNges/TNpl/Laufzeit))</f>
        <v/>
      </c>
      <c r="AE66" s="728"/>
      <c r="AF66" s="729"/>
    </row>
    <row r="67" spans="1:32" ht="17.25" customHeight="1" x14ac:dyDescent="0.2">
      <c r="A67" s="37" t="s">
        <v>174</v>
      </c>
      <c r="H67" s="57" t="s">
        <v>175</v>
      </c>
      <c r="I67" s="57"/>
      <c r="J67" s="57"/>
      <c r="K67" s="668">
        <v>2025</v>
      </c>
      <c r="L67" s="465"/>
      <c r="M67" s="465"/>
      <c r="N67" s="465"/>
      <c r="O67" s="57"/>
      <c r="P67" s="669">
        <v>2026</v>
      </c>
      <c r="Q67" s="653"/>
      <c r="R67" s="653"/>
      <c r="S67" s="653"/>
      <c r="T67" s="57"/>
      <c r="U67" s="668">
        <v>2027</v>
      </c>
      <c r="V67" s="465"/>
      <c r="W67" s="465"/>
      <c r="X67" s="182"/>
      <c r="Y67" s="668"/>
      <c r="Z67" s="465"/>
      <c r="AA67" s="465"/>
      <c r="AB67" s="137"/>
      <c r="AC67" s="57"/>
      <c r="AD67" s="57"/>
      <c r="AE67" s="57"/>
      <c r="AF67" s="150"/>
    </row>
    <row r="68" spans="1:32" ht="18" customHeight="1" x14ac:dyDescent="0.2">
      <c r="A68" s="185" t="s">
        <v>718</v>
      </c>
      <c r="E68" s="645">
        <f>kostges</f>
        <v>0</v>
      </c>
      <c r="F68" s="635"/>
      <c r="G68" s="635"/>
      <c r="H68" s="635"/>
      <c r="I68" s="635"/>
      <c r="J68" s="184"/>
      <c r="K68" s="634">
        <f>Kost1jahr</f>
        <v>0</v>
      </c>
      <c r="L68" s="765"/>
      <c r="M68" s="765"/>
      <c r="N68" s="765"/>
      <c r="P68" s="634">
        <f>Kost2jahr</f>
        <v>0</v>
      </c>
      <c r="Q68" s="635"/>
      <c r="R68" s="635"/>
      <c r="S68" s="635"/>
      <c r="T68" s="184"/>
      <c r="U68" s="634">
        <f>Kost3jahr</f>
        <v>0</v>
      </c>
      <c r="V68" s="635"/>
      <c r="W68" s="635"/>
      <c r="X68" s="184"/>
      <c r="Y68" s="641"/>
      <c r="Z68" s="633"/>
      <c r="AA68" s="633"/>
      <c r="AC68" s="684" t="s">
        <v>714</v>
      </c>
      <c r="AD68" s="637"/>
      <c r="AE68" s="637"/>
      <c r="AF68" s="151"/>
    </row>
    <row r="69" spans="1:32" x14ac:dyDescent="0.2">
      <c r="A69" s="185" t="s">
        <v>812</v>
      </c>
      <c r="E69" s="634">
        <f>esfges</f>
        <v>0</v>
      </c>
      <c r="F69" s="635"/>
      <c r="G69" s="635"/>
      <c r="H69" s="635"/>
      <c r="I69" s="635"/>
      <c r="J69" s="184"/>
      <c r="K69" s="634" t="e">
        <f>esf1jahr</f>
        <v>#REF!</v>
      </c>
      <c r="L69" s="765"/>
      <c r="M69" s="765"/>
      <c r="N69" s="765"/>
      <c r="O69" s="184"/>
      <c r="P69" s="634" t="e">
        <f>esf2jahr</f>
        <v>#REF!</v>
      </c>
      <c r="Q69" s="635"/>
      <c r="R69" s="635"/>
      <c r="S69" s="635"/>
      <c r="T69" s="184"/>
      <c r="U69" s="634" t="e">
        <f>esf3jahr</f>
        <v>#REF!</v>
      </c>
      <c r="V69" s="635"/>
      <c r="W69" s="635"/>
      <c r="X69" s="184"/>
      <c r="Y69" s="641"/>
      <c r="Z69" s="633"/>
      <c r="AA69" s="633"/>
      <c r="AC69" s="636" t="str">
        <f>IF(esfges=0,"",SUM(esfges/kostges))</f>
        <v/>
      </c>
      <c r="AD69" s="637"/>
      <c r="AE69" s="637"/>
      <c r="AF69" s="151"/>
    </row>
    <row r="70" spans="1:32" x14ac:dyDescent="0.2">
      <c r="A70" s="185" t="s">
        <v>802</v>
      </c>
      <c r="E70" s="634">
        <f>mastdges</f>
        <v>0</v>
      </c>
      <c r="F70" s="635"/>
      <c r="G70" s="635"/>
      <c r="H70" s="635"/>
      <c r="I70" s="635"/>
      <c r="J70" s="184"/>
      <c r="K70" s="634">
        <f>mastd1jahr</f>
        <v>0</v>
      </c>
      <c r="L70" s="765"/>
      <c r="M70" s="765"/>
      <c r="N70" s="765"/>
      <c r="O70" s="184"/>
      <c r="P70" s="634">
        <f>mastd2jahr</f>
        <v>0</v>
      </c>
      <c r="Q70" s="635"/>
      <c r="R70" s="635"/>
      <c r="S70" s="635"/>
      <c r="T70" s="184"/>
      <c r="U70" s="634">
        <f>mastd3jahr</f>
        <v>0</v>
      </c>
      <c r="V70" s="635"/>
      <c r="W70" s="635"/>
      <c r="X70" s="184"/>
      <c r="Y70" s="641"/>
      <c r="Z70" s="633"/>
      <c r="AA70" s="633"/>
      <c r="AC70" s="636" t="str">
        <f>IF(mastdges=0,"",SUM(mastdges/kostges))</f>
        <v/>
      </c>
      <c r="AD70" s="637"/>
      <c r="AE70" s="637"/>
      <c r="AF70" s="151"/>
    </row>
    <row r="71" spans="1:32" x14ac:dyDescent="0.2">
      <c r="A71" s="185" t="s">
        <v>820</v>
      </c>
      <c r="E71" s="634" t="e">
        <f>mbges</f>
        <v>#REF!</v>
      </c>
      <c r="F71" s="635"/>
      <c r="G71" s="635"/>
      <c r="H71" s="635"/>
      <c r="I71" s="635"/>
      <c r="J71" s="184"/>
      <c r="K71" s="634" t="e">
        <f>mb1jahr</f>
        <v>#REF!</v>
      </c>
      <c r="L71" s="765"/>
      <c r="M71" s="765"/>
      <c r="N71" s="765"/>
      <c r="O71" s="184"/>
      <c r="P71" s="634" t="e">
        <f>mb2jahr</f>
        <v>#REF!</v>
      </c>
      <c r="Q71" s="635"/>
      <c r="R71" s="635"/>
      <c r="S71" s="635"/>
      <c r="T71" s="184"/>
      <c r="U71" s="634" t="e">
        <f>mb3jahr</f>
        <v>#REF!</v>
      </c>
      <c r="V71" s="635"/>
      <c r="W71" s="635"/>
      <c r="X71" s="184"/>
      <c r="Y71" s="641"/>
      <c r="Z71" s="633"/>
      <c r="AA71" s="633"/>
      <c r="AC71" s="636" t="e">
        <f>IF(mbges=0,"",SUM(mbges/kostges))</f>
        <v>#REF!</v>
      </c>
      <c r="AD71" s="637"/>
      <c r="AE71" s="637"/>
      <c r="AF71" s="151"/>
    </row>
    <row r="72" spans="1:32" ht="15" customHeight="1" x14ac:dyDescent="0.2">
      <c r="A72" s="185" t="s">
        <v>800</v>
      </c>
      <c r="E72" s="634" t="e">
        <f>mffkiges</f>
        <v>#REF!</v>
      </c>
      <c r="F72" s="635"/>
      <c r="G72" s="635"/>
      <c r="H72" s="635"/>
      <c r="I72" s="635"/>
      <c r="J72" s="184"/>
      <c r="K72" s="634" t="e">
        <f>mffki1jahr</f>
        <v>#REF!</v>
      </c>
      <c r="L72" s="765"/>
      <c r="M72" s="765"/>
      <c r="N72" s="765"/>
      <c r="O72" s="184"/>
      <c r="P72" s="645" t="e">
        <f>mffki2jahr</f>
        <v>#REF!</v>
      </c>
      <c r="Q72" s="635"/>
      <c r="R72" s="635"/>
      <c r="S72" s="635"/>
      <c r="T72" s="184"/>
      <c r="U72" s="645" t="e">
        <f>mffki3jahr</f>
        <v>#REF!</v>
      </c>
      <c r="V72" s="635"/>
      <c r="W72" s="635"/>
      <c r="X72" s="183"/>
      <c r="Y72" s="646"/>
      <c r="Z72" s="633"/>
      <c r="AA72" s="633"/>
      <c r="AC72" s="636" t="e">
        <f>IF(mffkiges=0,"",SUM(mffkiges/kostges))</f>
        <v>#REF!</v>
      </c>
      <c r="AD72" s="637"/>
      <c r="AE72" s="637"/>
      <c r="AF72" s="151"/>
    </row>
    <row r="73" spans="1:32" ht="15" customHeight="1" x14ac:dyDescent="0.2">
      <c r="A73" s="185" t="s">
        <v>801</v>
      </c>
      <c r="E73" s="634" t="e">
        <f>mwgges</f>
        <v>#REF!</v>
      </c>
      <c r="F73" s="635"/>
      <c r="G73" s="635"/>
      <c r="H73" s="635"/>
      <c r="I73" s="635"/>
      <c r="J73" s="184"/>
      <c r="K73" s="634" t="e">
        <f>mwg1jahr</f>
        <v>#REF!</v>
      </c>
      <c r="L73" s="765"/>
      <c r="M73" s="765"/>
      <c r="N73" s="765"/>
      <c r="O73" s="184"/>
      <c r="P73" s="645" t="e">
        <f>mwg2jahr</f>
        <v>#REF!</v>
      </c>
      <c r="Q73" s="635"/>
      <c r="R73" s="635"/>
      <c r="S73" s="635"/>
      <c r="T73" s="184"/>
      <c r="U73" s="645" t="e">
        <f>mwg3jahr</f>
        <v>#REF!</v>
      </c>
      <c r="V73" s="635"/>
      <c r="W73" s="635"/>
      <c r="X73" s="183"/>
      <c r="Y73" s="646"/>
      <c r="Z73" s="633"/>
      <c r="AA73" s="633"/>
      <c r="AC73" s="636" t="e">
        <f>IF(mwgges=0,"",SUM(mwgges/kostges))</f>
        <v>#REF!</v>
      </c>
      <c r="AD73" s="637"/>
      <c r="AE73" s="637"/>
      <c r="AF73" s="151"/>
    </row>
    <row r="74" spans="1:32" x14ac:dyDescent="0.2">
      <c r="A74" s="185" t="s">
        <v>709</v>
      </c>
      <c r="E74" s="638" t="e">
        <f>SUM(kostges-esfges-mastdges-mbges-mffkiges-mwgges)</f>
        <v>#REF!</v>
      </c>
      <c r="F74" s="639"/>
      <c r="G74" s="639"/>
      <c r="H74" s="639"/>
      <c r="I74" s="640"/>
      <c r="J74" s="184"/>
      <c r="K74" s="638" t="e">
        <f>SUM(K68)-SUM(K69:N73 )</f>
        <v>#REF!</v>
      </c>
      <c r="L74" s="639"/>
      <c r="M74" s="639"/>
      <c r="N74" s="640"/>
      <c r="O74" s="184"/>
      <c r="P74" s="638" t="e">
        <f>SUM(P68)-SUM(P69:S73 )</f>
        <v>#REF!</v>
      </c>
      <c r="Q74" s="639"/>
      <c r="R74" s="639"/>
      <c r="S74" s="640"/>
      <c r="T74" s="184"/>
      <c r="U74" s="638" t="e">
        <f>SUM(U68)-SUM(U69:W73 )</f>
        <v>#REF!</v>
      </c>
      <c r="V74" s="639"/>
      <c r="W74" s="640"/>
      <c r="X74" s="184"/>
      <c r="Y74" s="641"/>
      <c r="Z74" s="641"/>
      <c r="AA74" s="641"/>
      <c r="AC74" s="642" t="e">
        <f>IF(E74=0,"",SUM(E74/kostges))</f>
        <v>#REF!</v>
      </c>
      <c r="AD74" s="643"/>
      <c r="AE74" s="644"/>
      <c r="AF74" s="151"/>
    </row>
    <row r="75" spans="1:32" ht="24.75" customHeight="1" x14ac:dyDescent="0.2">
      <c r="A75" s="766" t="s">
        <v>716</v>
      </c>
      <c r="B75" s="767"/>
      <c r="C75" s="767"/>
      <c r="D75" s="767"/>
      <c r="E75" s="767"/>
      <c r="H75" s="186" t="s">
        <v>717</v>
      </c>
      <c r="I75" s="186"/>
      <c r="J75" s="186"/>
      <c r="K75" s="186"/>
      <c r="L75" s="186"/>
      <c r="M75" s="768" t="s">
        <v>857</v>
      </c>
      <c r="N75" s="768"/>
      <c r="O75" s="768"/>
      <c r="P75" s="768"/>
      <c r="R75" s="768" t="s">
        <v>831</v>
      </c>
      <c r="S75" s="768"/>
      <c r="T75" s="768"/>
      <c r="U75" s="768"/>
      <c r="W75" s="149"/>
      <c r="X75" s="149"/>
      <c r="Y75" s="149"/>
      <c r="Z75" s="149"/>
      <c r="AF75" s="28"/>
    </row>
    <row r="76" spans="1:32" x14ac:dyDescent="0.2">
      <c r="A76" s="766"/>
      <c r="B76" s="767"/>
      <c r="C76" s="767"/>
      <c r="D76" s="767"/>
      <c r="E76" s="767"/>
      <c r="H76" s="762">
        <f>kostges-entgeltTNges</f>
        <v>0</v>
      </c>
      <c r="I76" s="763"/>
      <c r="J76" s="763"/>
      <c r="K76" s="764"/>
      <c r="M76" s="762">
        <f>aktivkofi</f>
        <v>0</v>
      </c>
      <c r="N76" s="763"/>
      <c r="O76" s="763"/>
      <c r="P76" s="764"/>
      <c r="R76" s="762">
        <f>esfges</f>
        <v>0</v>
      </c>
      <c r="S76" s="763"/>
      <c r="T76" s="763"/>
      <c r="U76" s="764"/>
      <c r="W76" s="785"/>
      <c r="X76" s="785"/>
      <c r="Y76" s="180"/>
      <c r="Z76" s="180"/>
      <c r="AF76" s="28"/>
    </row>
    <row r="77" spans="1:32" ht="12" customHeight="1" x14ac:dyDescent="0.2">
      <c r="A77" s="114"/>
      <c r="B77" s="2"/>
      <c r="C77" s="2"/>
      <c r="D77" s="2"/>
      <c r="E77" s="2"/>
      <c r="H77" s="180"/>
      <c r="M77" s="792" t="str">
        <f>IF(aktivkofi=0,"",SUM(aktivkofi/(kostges-entgeltTNges)))</f>
        <v/>
      </c>
      <c r="N77" s="451"/>
      <c r="O77" s="451"/>
      <c r="P77" s="452"/>
      <c r="R77" s="792" t="str">
        <f>IF(esfges=0,"",SUM(esfges/(kostges-entgeltTNges)))</f>
        <v/>
      </c>
      <c r="S77" s="451"/>
      <c r="T77" s="451"/>
      <c r="U77" s="452"/>
      <c r="W77" s="793"/>
      <c r="X77" s="793"/>
      <c r="AF77" s="28"/>
    </row>
    <row r="78" spans="1:32" ht="13.5" customHeight="1" x14ac:dyDescent="0.2">
      <c r="A78" s="760" t="s">
        <v>608</v>
      </c>
      <c r="B78" s="761"/>
      <c r="C78" s="761"/>
      <c r="D78" s="761"/>
      <c r="E78" s="761"/>
      <c r="F78" s="761"/>
      <c r="G78" s="761"/>
      <c r="H78" s="761"/>
      <c r="I78" s="761"/>
      <c r="J78" s="761"/>
      <c r="K78" s="707"/>
      <c r="L78" s="707"/>
      <c r="M78" s="707"/>
      <c r="N78" s="707"/>
      <c r="O78" s="707"/>
      <c r="P78" s="707"/>
      <c r="Q78" s="707"/>
      <c r="R78" s="707"/>
      <c r="S78" s="707"/>
      <c r="T78" s="707"/>
      <c r="U78" s="707"/>
      <c r="V78" s="707"/>
      <c r="W78" s="707"/>
      <c r="X78" s="707"/>
      <c r="Y78" s="707"/>
      <c r="Z78" s="707"/>
      <c r="AA78" s="707"/>
      <c r="AB78" s="707"/>
      <c r="AC78" s="707"/>
      <c r="AD78" s="707"/>
      <c r="AE78" s="707"/>
      <c r="AF78" s="759"/>
    </row>
    <row r="79" spans="1:32" ht="16.5" customHeight="1" x14ac:dyDescent="0.2">
      <c r="A79" s="34"/>
      <c r="B79" s="653" t="s">
        <v>594</v>
      </c>
      <c r="C79" s="653"/>
      <c r="D79" s="653"/>
      <c r="E79" s="653"/>
      <c r="F79" s="653"/>
      <c r="G79" s="653"/>
      <c r="H79" s="653"/>
      <c r="I79" s="653"/>
      <c r="J79" s="686"/>
      <c r="K79" s="34"/>
      <c r="L79" s="152" t="s">
        <v>719</v>
      </c>
      <c r="M79" s="5"/>
      <c r="N79" s="5"/>
      <c r="O79" s="5"/>
      <c r="P79" s="5"/>
      <c r="Q79" s="5"/>
      <c r="R79" s="5"/>
      <c r="S79" s="5"/>
      <c r="T79" s="5"/>
      <c r="U79" s="5"/>
      <c r="V79" s="70"/>
      <c r="W79" s="34"/>
      <c r="X79" s="127" t="s">
        <v>609</v>
      </c>
      <c r="AF79" s="196"/>
    </row>
    <row r="80" spans="1:32" ht="16.5" customHeight="1" x14ac:dyDescent="0.2">
      <c r="A80" s="34"/>
      <c r="B80" s="653" t="s">
        <v>98</v>
      </c>
      <c r="C80" s="653"/>
      <c r="D80" s="653"/>
      <c r="E80" s="653"/>
      <c r="F80" s="653"/>
      <c r="G80" s="653"/>
      <c r="H80" s="653"/>
      <c r="I80" s="653"/>
      <c r="J80" s="686"/>
      <c r="K80" s="34"/>
      <c r="L80" s="653" t="s">
        <v>595</v>
      </c>
      <c r="M80" s="653"/>
      <c r="N80" s="653"/>
      <c r="O80" s="653"/>
      <c r="P80" s="653"/>
      <c r="Q80" s="653"/>
      <c r="R80" s="653"/>
      <c r="S80" s="653"/>
      <c r="T80" s="653"/>
      <c r="U80" s="653"/>
      <c r="V80" s="686"/>
      <c r="W80" s="34"/>
      <c r="X80" s="38" t="s">
        <v>909</v>
      </c>
      <c r="Y80" s="5"/>
      <c r="Z80" s="5"/>
      <c r="AA80" s="5"/>
      <c r="AB80" s="5"/>
      <c r="AC80" s="5"/>
      <c r="AD80" s="5"/>
      <c r="AE80" s="5"/>
      <c r="AF80" s="70"/>
    </row>
    <row r="81" spans="1:32" ht="16.5" customHeight="1" x14ac:dyDescent="0.2">
      <c r="A81" s="34"/>
      <c r="B81" s="653" t="s">
        <v>597</v>
      </c>
      <c r="C81" s="653"/>
      <c r="D81" s="653"/>
      <c r="E81" s="653"/>
      <c r="F81" s="653"/>
      <c r="G81" s="653"/>
      <c r="H81" s="653"/>
      <c r="I81" s="653"/>
      <c r="J81" s="686"/>
      <c r="K81" s="34"/>
      <c r="L81" s="38" t="s">
        <v>853</v>
      </c>
      <c r="M81" s="61"/>
      <c r="N81" s="61"/>
      <c r="O81" s="61"/>
      <c r="P81" s="61"/>
      <c r="Q81" s="61"/>
      <c r="R81" s="61"/>
      <c r="S81" s="61"/>
      <c r="T81" s="61"/>
      <c r="U81" s="61"/>
      <c r="V81" s="145"/>
      <c r="W81" s="34"/>
      <c r="X81" s="5" t="s">
        <v>596</v>
      </c>
      <c r="Y81" s="5"/>
      <c r="Z81" s="5"/>
      <c r="AA81" s="5"/>
      <c r="AB81" s="5"/>
      <c r="AC81" s="5"/>
      <c r="AD81" s="5"/>
      <c r="AE81" s="5"/>
      <c r="AF81" s="70"/>
    </row>
    <row r="82" spans="1:32" ht="16.5" customHeight="1" x14ac:dyDescent="0.2">
      <c r="A82" s="34"/>
      <c r="B82" s="653" t="s">
        <v>600</v>
      </c>
      <c r="C82" s="653"/>
      <c r="D82" s="653"/>
      <c r="E82" s="653"/>
      <c r="F82" s="653"/>
      <c r="G82" s="653"/>
      <c r="H82" s="653"/>
      <c r="I82" s="653"/>
      <c r="J82" s="686"/>
      <c r="K82" s="34"/>
      <c r="L82" s="127" t="s">
        <v>598</v>
      </c>
      <c r="W82" s="34"/>
      <c r="X82" s="152" t="s">
        <v>856</v>
      </c>
      <c r="Y82" s="5"/>
      <c r="Z82" s="5"/>
      <c r="AA82" s="5"/>
      <c r="AB82" s="5"/>
      <c r="AC82" s="5"/>
      <c r="AD82" s="5"/>
      <c r="AE82" s="5"/>
      <c r="AF82" s="70"/>
    </row>
    <row r="83" spans="1:32" ht="16.5" customHeight="1" x14ac:dyDescent="0.2">
      <c r="A83" s="34"/>
      <c r="B83" s="653" t="s">
        <v>602</v>
      </c>
      <c r="C83" s="653"/>
      <c r="D83" s="653"/>
      <c r="E83" s="653"/>
      <c r="F83" s="653"/>
      <c r="G83" s="653"/>
      <c r="H83" s="653"/>
      <c r="I83" s="653"/>
      <c r="J83" s="686"/>
      <c r="K83" s="34"/>
      <c r="L83" s="152" t="s">
        <v>601</v>
      </c>
      <c r="M83" s="5"/>
      <c r="N83" s="5"/>
      <c r="O83" s="5"/>
      <c r="P83" s="5"/>
      <c r="Q83" s="5"/>
      <c r="R83" s="5"/>
      <c r="S83" s="5"/>
      <c r="T83" s="5"/>
      <c r="U83" s="5"/>
      <c r="V83" s="70"/>
      <c r="W83" s="34"/>
      <c r="X83" s="5" t="s">
        <v>599</v>
      </c>
      <c r="Y83" s="5"/>
      <c r="Z83" s="5"/>
      <c r="AA83" s="5"/>
      <c r="AB83" s="5"/>
      <c r="AC83" s="5"/>
      <c r="AD83" s="5"/>
      <c r="AE83" s="5"/>
      <c r="AF83" s="70"/>
    </row>
    <row r="84" spans="1:32" ht="16.5" customHeight="1" x14ac:dyDescent="0.2">
      <c r="A84" s="34"/>
      <c r="B84" s="778" t="s">
        <v>851</v>
      </c>
      <c r="C84" s="653"/>
      <c r="D84" s="653"/>
      <c r="E84" s="653"/>
      <c r="F84" s="653"/>
      <c r="G84" s="653"/>
      <c r="H84" s="653"/>
      <c r="I84" s="653"/>
      <c r="J84" s="686"/>
      <c r="K84" s="34"/>
      <c r="L84" s="152" t="s">
        <v>606</v>
      </c>
      <c r="M84" s="5"/>
      <c r="N84" s="5"/>
      <c r="O84" s="5"/>
      <c r="P84" s="5"/>
      <c r="Q84" s="5"/>
      <c r="R84" s="5"/>
      <c r="S84" s="5"/>
      <c r="T84" s="5"/>
      <c r="U84" s="5"/>
      <c r="V84" s="70"/>
      <c r="W84" s="34"/>
      <c r="X84" s="152" t="s">
        <v>871</v>
      </c>
      <c r="Y84" s="5"/>
      <c r="Z84" s="5"/>
      <c r="AA84" s="5"/>
      <c r="AB84" s="5"/>
      <c r="AC84" s="5"/>
      <c r="AD84" s="5"/>
      <c r="AE84" s="5"/>
      <c r="AF84" s="70"/>
    </row>
    <row r="85" spans="1:32" ht="16.5" customHeight="1" x14ac:dyDescent="0.2">
      <c r="A85" s="34"/>
      <c r="B85" s="653" t="s">
        <v>603</v>
      </c>
      <c r="C85" s="653"/>
      <c r="D85" s="653"/>
      <c r="E85" s="653"/>
      <c r="F85" s="653"/>
      <c r="G85" s="653"/>
      <c r="H85" s="653"/>
      <c r="I85" s="653"/>
      <c r="J85" s="686"/>
      <c r="K85" s="34"/>
      <c r="L85" s="152" t="s">
        <v>854</v>
      </c>
      <c r="M85" s="5"/>
      <c r="N85" s="5"/>
      <c r="O85" s="5"/>
      <c r="P85" s="5"/>
      <c r="Q85" s="5"/>
      <c r="R85" s="5"/>
      <c r="S85" s="5"/>
      <c r="T85" s="5"/>
      <c r="U85" s="5"/>
      <c r="V85" s="70"/>
      <c r="W85" s="34"/>
      <c r="X85" s="5" t="s">
        <v>97</v>
      </c>
      <c r="Y85" s="5"/>
      <c r="Z85" s="5"/>
      <c r="AA85" s="5"/>
      <c r="AB85" s="5"/>
      <c r="AC85" s="5"/>
      <c r="AD85" s="5"/>
      <c r="AE85" s="5"/>
      <c r="AF85" s="70"/>
    </row>
    <row r="86" spans="1:32" ht="16.5" customHeight="1" x14ac:dyDescent="0.2">
      <c r="A86" s="34"/>
      <c r="B86" s="778" t="s">
        <v>852</v>
      </c>
      <c r="C86" s="653"/>
      <c r="D86" s="653"/>
      <c r="E86" s="653"/>
      <c r="F86" s="653"/>
      <c r="G86" s="653"/>
      <c r="H86" s="653"/>
      <c r="I86" s="653"/>
      <c r="J86" s="686"/>
      <c r="K86" s="34"/>
      <c r="L86" s="152" t="s">
        <v>604</v>
      </c>
      <c r="M86" s="5"/>
      <c r="N86" s="5"/>
      <c r="O86" s="5"/>
      <c r="P86" s="5"/>
      <c r="Q86" s="5"/>
      <c r="R86" s="5"/>
      <c r="S86" s="5"/>
      <c r="T86" s="5"/>
      <c r="U86" s="5"/>
      <c r="V86" s="70"/>
      <c r="W86" s="34"/>
      <c r="X86" s="5" t="s">
        <v>607</v>
      </c>
      <c r="Y86" s="5"/>
      <c r="Z86" s="5"/>
      <c r="AA86" s="5"/>
      <c r="AB86" s="5"/>
      <c r="AC86" s="5"/>
      <c r="AD86" s="5"/>
      <c r="AE86" s="5"/>
      <c r="AF86" s="70"/>
    </row>
    <row r="87" spans="1:32" ht="12.75" hidden="1" customHeight="1" x14ac:dyDescent="0.2">
      <c r="L87" s="5" t="s">
        <v>604</v>
      </c>
      <c r="M87" s="5"/>
      <c r="N87" s="5"/>
      <c r="O87" s="5"/>
      <c r="P87" s="5"/>
      <c r="Q87" s="5"/>
      <c r="R87" s="5"/>
      <c r="S87" s="5"/>
      <c r="T87" s="5"/>
      <c r="U87" s="5"/>
      <c r="V87" s="70"/>
    </row>
    <row r="88" spans="1:32" ht="16.5" customHeight="1" x14ac:dyDescent="0.2">
      <c r="A88" s="34"/>
      <c r="B88" s="778" t="s">
        <v>605</v>
      </c>
      <c r="C88" s="653"/>
      <c r="D88" s="653"/>
      <c r="E88" s="653"/>
      <c r="F88" s="653"/>
      <c r="G88" s="653"/>
      <c r="H88" s="653"/>
      <c r="I88" s="653"/>
      <c r="J88" s="686"/>
      <c r="K88" s="34"/>
      <c r="L88" s="152" t="s">
        <v>855</v>
      </c>
      <c r="M88" s="5"/>
      <c r="N88" s="5"/>
      <c r="O88" s="5"/>
      <c r="P88" s="5"/>
      <c r="Q88" s="5"/>
      <c r="R88" s="5"/>
      <c r="S88" s="5"/>
      <c r="T88" s="5"/>
      <c r="U88" s="5"/>
      <c r="V88" s="70"/>
      <c r="W88" s="34"/>
      <c r="X88" s="653"/>
      <c r="Y88" s="653"/>
      <c r="Z88" s="653"/>
      <c r="AA88" s="653"/>
      <c r="AB88" s="653"/>
      <c r="AC88" s="653"/>
      <c r="AD88" s="653"/>
      <c r="AE88" s="653"/>
      <c r="AF88" s="686"/>
    </row>
  </sheetData>
  <dataConsolidate/>
  <customSheetViews>
    <customSheetView guid="{EEA7A97B-E2BF-43AD-B211-D284BEE221A1}" showGridLines="0" hiddenRows="1" showRuler="0" topLeftCell="A13">
      <selection activeCell="AI21" sqref="AI21"/>
      <rowBreaks count="1" manualBreakCount="1">
        <brk id="56" max="16383" man="1"/>
      </rowBreaks>
      <pageMargins left="0.78740157480314965" right="0.6692913385826772" top="0.39370078740157483" bottom="0.70866141732283472" header="0.27559055118110237" footer="0.11811023622047245"/>
      <pageSetup paperSize="9" orientation="portrait" r:id="rId1"/>
      <headerFooter alignWithMargins="0">
        <oddFooter>&amp;LAnmeldeverfahren 2010 - 1</oddFooter>
      </headerFooter>
    </customSheetView>
    <customSheetView guid="{04F5F062-CD85-4BE7-B897-A8C5C601EF7B}" showPageBreaks="1" showGridLines="0" printArea="1" hiddenRows="1" showRuler="0">
      <selection activeCell="AI21" sqref="AI21"/>
      <rowBreaks count="1" manualBreakCount="1">
        <brk id="56" max="16383" man="1"/>
      </rowBreaks>
      <pageMargins left="0.78740157480314965" right="0.6692913385826772" top="0.39370078740157483" bottom="0.70866141732283472" header="0.27559055118110237" footer="0.11811023622047245"/>
      <pageSetup paperSize="9" orientation="portrait" r:id="rId2"/>
      <headerFooter alignWithMargins="0">
        <oddFooter>&amp;LAnmeldeverfahren 2010 - 1</oddFooter>
      </headerFooter>
    </customSheetView>
  </customSheetViews>
  <mergeCells count="191">
    <mergeCell ref="A28:L28"/>
    <mergeCell ref="U28:AF28"/>
    <mergeCell ref="A30:L30"/>
    <mergeCell ref="B88:J88"/>
    <mergeCell ref="X88:AF88"/>
    <mergeCell ref="R77:U77"/>
    <mergeCell ref="W77:X77"/>
    <mergeCell ref="H76:K76"/>
    <mergeCell ref="G66:J66"/>
    <mergeCell ref="AD58:AF58"/>
    <mergeCell ref="A59:AF59"/>
    <mergeCell ref="AD56:AF56"/>
    <mergeCell ref="M77:P77"/>
    <mergeCell ref="Q66:S66"/>
    <mergeCell ref="W66:Y66"/>
    <mergeCell ref="E68:I68"/>
    <mergeCell ref="E69:I69"/>
    <mergeCell ref="E70:I70"/>
    <mergeCell ref="E72:I72"/>
    <mergeCell ref="E71:I71"/>
    <mergeCell ref="K70:N70"/>
    <mergeCell ref="K72:N72"/>
    <mergeCell ref="K71:N71"/>
    <mergeCell ref="K68:N68"/>
    <mergeCell ref="W76:X76"/>
    <mergeCell ref="K67:N67"/>
    <mergeCell ref="R75:U75"/>
    <mergeCell ref="R76:U76"/>
    <mergeCell ref="L49:M49"/>
    <mergeCell ref="AD51:AF51"/>
    <mergeCell ref="AD53:AF53"/>
    <mergeCell ref="A58:G58"/>
    <mergeCell ref="A55:J55"/>
    <mergeCell ref="A53:J53"/>
    <mergeCell ref="AC71:AE71"/>
    <mergeCell ref="AD55:AF55"/>
    <mergeCell ref="AD63:AF63"/>
    <mergeCell ref="Y56:AB56"/>
    <mergeCell ref="K8:U8"/>
    <mergeCell ref="B86:J86"/>
    <mergeCell ref="K78:V78"/>
    <mergeCell ref="B79:J79"/>
    <mergeCell ref="B83:J83"/>
    <mergeCell ref="B84:J84"/>
    <mergeCell ref="B85:J85"/>
    <mergeCell ref="B81:J81"/>
    <mergeCell ref="L80:V80"/>
    <mergeCell ref="U55:AC55"/>
    <mergeCell ref="H11:S11"/>
    <mergeCell ref="N26:O26"/>
    <mergeCell ref="A26:I26"/>
    <mergeCell ref="P26:Q26"/>
    <mergeCell ref="W65:Y65"/>
    <mergeCell ref="V60:W60"/>
    <mergeCell ref="G64:J64"/>
    <mergeCell ref="Q64:S64"/>
    <mergeCell ref="G65:J65"/>
    <mergeCell ref="Q65:S65"/>
    <mergeCell ref="Q42:T42"/>
    <mergeCell ref="W64:Y64"/>
    <mergeCell ref="V58:AB58"/>
    <mergeCell ref="A34:U34"/>
    <mergeCell ref="W78:AF78"/>
    <mergeCell ref="B82:J82"/>
    <mergeCell ref="B80:J80"/>
    <mergeCell ref="A78:J78"/>
    <mergeCell ref="M76:P76"/>
    <mergeCell ref="K73:N73"/>
    <mergeCell ref="A75:E76"/>
    <mergeCell ref="M75:P75"/>
    <mergeCell ref="U54:AC54"/>
    <mergeCell ref="Q63:S63"/>
    <mergeCell ref="H62:AF62"/>
    <mergeCell ref="O57:AC57"/>
    <mergeCell ref="W63:Y63"/>
    <mergeCell ref="G63:J63"/>
    <mergeCell ref="A54:J54"/>
    <mergeCell ref="AD54:AF54"/>
    <mergeCell ref="U72:W72"/>
    <mergeCell ref="AD66:AF66"/>
    <mergeCell ref="P72:S72"/>
    <mergeCell ref="K69:N69"/>
    <mergeCell ref="AC70:AE70"/>
    <mergeCell ref="AC72:AE72"/>
    <mergeCell ref="U71:W71"/>
    <mergeCell ref="Y71:AA71"/>
    <mergeCell ref="A35:H35"/>
    <mergeCell ref="A36:AF36"/>
    <mergeCell ref="U53:AC53"/>
    <mergeCell ref="J49:K49"/>
    <mergeCell ref="AD50:AF50"/>
    <mergeCell ref="O50:Q50"/>
    <mergeCell ref="AD52:AF52"/>
    <mergeCell ref="N49:O49"/>
    <mergeCell ref="P49:Q49"/>
    <mergeCell ref="H21:I21"/>
    <mergeCell ref="T21:V21"/>
    <mergeCell ref="X33:AA33"/>
    <mergeCell ref="U51:AC51"/>
    <mergeCell ref="V45:W45"/>
    <mergeCell ref="AD65:AF65"/>
    <mergeCell ref="H12:N12"/>
    <mergeCell ref="AD12:AE12"/>
    <mergeCell ref="AA47:AA48"/>
    <mergeCell ref="AD64:AF64"/>
    <mergeCell ref="AD57:AF57"/>
    <mergeCell ref="AC34:AF34"/>
    <mergeCell ref="R50:T50"/>
    <mergeCell ref="A40:AF41"/>
    <mergeCell ref="A43:AB43"/>
    <mergeCell ref="X47:Z48"/>
    <mergeCell ref="L47:W47"/>
    <mergeCell ref="L50:M50"/>
    <mergeCell ref="A52:J52"/>
    <mergeCell ref="AD47:AF48"/>
    <mergeCell ref="AB47:AC48"/>
    <mergeCell ref="A51:J51"/>
    <mergeCell ref="R49:S49"/>
    <mergeCell ref="P14:X14"/>
    <mergeCell ref="A1:AC1"/>
    <mergeCell ref="AE1:AF2"/>
    <mergeCell ref="A2:AC2"/>
    <mergeCell ref="AC4:AF4"/>
    <mergeCell ref="AE3:AF3"/>
    <mergeCell ref="X3:AA4"/>
    <mergeCell ref="U3:W4"/>
    <mergeCell ref="H6:AE6"/>
    <mergeCell ref="A18:D18"/>
    <mergeCell ref="U15:AF15"/>
    <mergeCell ref="E15:O15"/>
    <mergeCell ref="H9:AE9"/>
    <mergeCell ref="AC5:AF5"/>
    <mergeCell ref="H5:Z5"/>
    <mergeCell ref="U13:X13"/>
    <mergeCell ref="H7:M7"/>
    <mergeCell ref="R7:AE7"/>
    <mergeCell ref="E16:O16"/>
    <mergeCell ref="P10:S10"/>
    <mergeCell ref="AD11:AF11"/>
    <mergeCell ref="AD10:AE10"/>
    <mergeCell ref="H10:K10"/>
    <mergeCell ref="H13:N13"/>
    <mergeCell ref="W11:Y11"/>
    <mergeCell ref="H14:I14"/>
    <mergeCell ref="Y68:AA68"/>
    <mergeCell ref="Y69:AA69"/>
    <mergeCell ref="Y70:AA70"/>
    <mergeCell ref="U67:W67"/>
    <mergeCell ref="P67:S67"/>
    <mergeCell ref="P68:S68"/>
    <mergeCell ref="P69:S69"/>
    <mergeCell ref="P70:S70"/>
    <mergeCell ref="U68:W68"/>
    <mergeCell ref="U69:W69"/>
    <mergeCell ref="U70:W70"/>
    <mergeCell ref="X34:AB34"/>
    <mergeCell ref="A29:L29"/>
    <mergeCell ref="A31:AF31"/>
    <mergeCell ref="P37:S37"/>
    <mergeCell ref="N39:O39"/>
    <mergeCell ref="U52:AC52"/>
    <mergeCell ref="V49:W49"/>
    <mergeCell ref="AC42:AF42"/>
    <mergeCell ref="AC68:AE68"/>
    <mergeCell ref="AC69:AE69"/>
    <mergeCell ref="U26:AF26"/>
    <mergeCell ref="Y67:AA67"/>
    <mergeCell ref="U16:AF16"/>
    <mergeCell ref="P71:S71"/>
    <mergeCell ref="AC73:AE73"/>
    <mergeCell ref="E74:I74"/>
    <mergeCell ref="K74:N74"/>
    <mergeCell ref="P74:S74"/>
    <mergeCell ref="U74:W74"/>
    <mergeCell ref="Y74:AA74"/>
    <mergeCell ref="AC74:AE74"/>
    <mergeCell ref="P73:S73"/>
    <mergeCell ref="Y73:AA73"/>
    <mergeCell ref="E73:I73"/>
    <mergeCell ref="U73:W73"/>
    <mergeCell ref="Y72:AA72"/>
    <mergeCell ref="U29:AF29"/>
    <mergeCell ref="V37:X37"/>
    <mergeCell ref="U27:AF27"/>
    <mergeCell ref="J35:AC35"/>
    <mergeCell ref="AC37:AF39"/>
    <mergeCell ref="L33:T33"/>
    <mergeCell ref="A27:L27"/>
    <mergeCell ref="U30:AF30"/>
    <mergeCell ref="Z37:AB37"/>
    <mergeCell ref="A24:C24"/>
  </mergeCells>
  <phoneticPr fontId="0" type="noConversion"/>
  <conditionalFormatting sqref="H77:J77 K77:K78">
    <cfRule type="cellIs" dxfId="18" priority="16" stopIfTrue="1" operator="between">
      <formula>0.25</formula>
      <formula>0.1</formula>
    </cfRule>
    <cfRule type="cellIs" priority="17" stopIfTrue="1" operator="equal">
      <formula>0</formula>
    </cfRule>
  </conditionalFormatting>
  <conditionalFormatting sqref="I20:J20">
    <cfRule type="cellIs" dxfId="17" priority="22" stopIfTrue="1" operator="equal">
      <formula>"Nein"</formula>
    </cfRule>
  </conditionalFormatting>
  <conditionalFormatting sqref="K8:U8">
    <cfRule type="cellIs" dxfId="16" priority="4" operator="equal">
      <formula>"Übergangsregion!"</formula>
    </cfRule>
  </conditionalFormatting>
  <conditionalFormatting sqref="K20:AE20">
    <cfRule type="cellIs" dxfId="15" priority="25" stopIfTrue="1" operator="equal">
      <formula>""</formula>
    </cfRule>
  </conditionalFormatting>
  <conditionalFormatting sqref="L33:T33">
    <cfRule type="cellIs" dxfId="14" priority="19" stopIfTrue="1" operator="equal">
      <formula>" "</formula>
    </cfRule>
  </conditionalFormatting>
  <conditionalFormatting sqref="M77:P77">
    <cfRule type="cellIs" priority="26" stopIfTrue="1" operator="equal">
      <formula>0</formula>
    </cfRule>
  </conditionalFormatting>
  <conditionalFormatting sqref="P14:X14">
    <cfRule type="containsText" dxfId="13" priority="2" operator="containsText" text="Übergangsregion">
      <formula>NOT(ISERROR(SEARCH("Übergangsregion",P14)))</formula>
    </cfRule>
  </conditionalFormatting>
  <conditionalFormatting sqref="R77:U77">
    <cfRule type="cellIs" priority="7" stopIfTrue="1" operator="equal">
      <formula>0</formula>
    </cfRule>
  </conditionalFormatting>
  <conditionalFormatting sqref="T21:V21">
    <cfRule type="cellIs" dxfId="12" priority="24" stopIfTrue="1" operator="equal">
      <formula>"ja"</formula>
    </cfRule>
  </conditionalFormatting>
  <conditionalFormatting sqref="X33:Z33">
    <cfRule type="cellIs" dxfId="11" priority="18" stopIfTrue="1" operator="equal">
      <formula>" "</formula>
    </cfRule>
  </conditionalFormatting>
  <conditionalFormatting sqref="AC4:AF4">
    <cfRule type="cellIs" dxfId="10" priority="1" stopIfTrue="1" operator="greaterThan">
      <formula>45520</formula>
    </cfRule>
  </conditionalFormatting>
  <conditionalFormatting sqref="AC43:AF43">
    <cfRule type="cellIs" dxfId="9" priority="20" stopIfTrue="1" operator="equal">
      <formula>"Prio 0"</formula>
    </cfRule>
    <cfRule type="cellIs" dxfId="8" priority="21" stopIfTrue="1" operator="equal">
      <formula>"Prio 1"</formula>
    </cfRule>
  </conditionalFormatting>
  <conditionalFormatting sqref="AD10:AE10">
    <cfRule type="cellIs" dxfId="7" priority="29" stopIfTrue="1" operator="between">
      <formula>11</formula>
      <formula>1</formula>
    </cfRule>
    <cfRule type="cellIs" dxfId="6" priority="30" stopIfTrue="1" operator="equal">
      <formula>0</formula>
    </cfRule>
  </conditionalFormatting>
  <conditionalFormatting sqref="AF69:AF74">
    <cfRule type="cellIs" dxfId="5" priority="8" stopIfTrue="1" operator="between">
      <formula>0.505</formula>
      <formula>1</formula>
    </cfRule>
    <cfRule type="cellIs" dxfId="4" priority="9" stopIfTrue="1" operator="equal">
      <formula>0</formula>
    </cfRule>
  </conditionalFormatting>
  <dataValidations count="2">
    <dataValidation type="list" allowBlank="1" showInputMessage="1" showErrorMessage="1" sqref="AI33:AI34">
      <formula1>"fehl.kofi"</formula1>
    </dataValidation>
    <dataValidation type="list" allowBlank="1" showInputMessage="1" showErrorMessage="1" sqref="AH33">
      <formula1>fehl.kofi</formula1>
    </dataValidation>
  </dataValidations>
  <pageMargins left="0.51181102362204722" right="0.19685039370078741" top="0.19685039370078741" bottom="0.31496062992125984" header="0.27559055118110237" footer="0.11811023622047245"/>
  <pageSetup paperSize="9" orientation="portrait" r:id="rId3"/>
  <headerFooter alignWithMargins="0">
    <oddFooter>&amp;L&amp;F&amp;R&amp;P</oddFooter>
  </headerFooter>
  <rowBreaks count="1" manualBreakCount="1">
    <brk id="43" max="31" man="1"/>
  </rowBreaks>
  <cellWatches>
    <cellWatch r="W11"/>
  </cellWatches>
  <ignoredErrors>
    <ignoredError sqref="K8 P14" unlocked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20</xdr:row>
                    <xdr:rowOff>161925</xdr:rowOff>
                  </from>
                  <to>
                    <xdr:col>8</xdr:col>
                    <xdr:colOff>285750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20</xdr:row>
                    <xdr:rowOff>142875</xdr:rowOff>
                  </from>
                  <to>
                    <xdr:col>13</xdr:col>
                    <xdr:colOff>57150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Drop Down 4">
              <controlPr defaultSize="0" autoLine="0" autoPict="0">
                <anchor moveWithCells="1">
                  <from>
                    <xdr:col>18</xdr:col>
                    <xdr:colOff>0</xdr:colOff>
                    <xdr:row>22</xdr:row>
                    <xdr:rowOff>9525</xdr:rowOff>
                  </from>
                  <to>
                    <xdr:col>30</xdr:col>
                    <xdr:colOff>171450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Check Box 9">
              <controlPr defaultSize="0" autoFill="0" autoLine="0" autoPict="0">
                <anchor moveWithCells="1">
                  <from>
                    <xdr:col>4</xdr:col>
                    <xdr:colOff>85725</xdr:colOff>
                    <xdr:row>16</xdr:row>
                    <xdr:rowOff>133350</xdr:rowOff>
                  </from>
                  <to>
                    <xdr:col>6</xdr:col>
                    <xdr:colOff>28575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142875</xdr:rowOff>
                  </from>
                  <to>
                    <xdr:col>9</xdr:col>
                    <xdr:colOff>9525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1" name="Check Box 35">
              <controlPr defaultSize="0" autoFill="0" autoLine="0" autoPict="0">
                <anchor moveWithCells="1">
                  <from>
                    <xdr:col>11</xdr:col>
                    <xdr:colOff>76200</xdr:colOff>
                    <xdr:row>50</xdr:row>
                    <xdr:rowOff>76200</xdr:rowOff>
                  </from>
                  <to>
                    <xdr:col>13</xdr:col>
                    <xdr:colOff>19050</xdr:colOff>
                    <xdr:row>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2" name="Check Box 37">
              <controlPr defaultSize="0" autoFill="0" autoLine="0" autoPict="0">
                <anchor moveWithCells="1">
                  <from>
                    <xdr:col>14</xdr:col>
                    <xdr:colOff>76200</xdr:colOff>
                    <xdr:row>50</xdr:row>
                    <xdr:rowOff>85725</xdr:rowOff>
                  </from>
                  <to>
                    <xdr:col>16</xdr:col>
                    <xdr:colOff>19050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3" name="Check Box 38">
              <controlPr defaultSize="0" autoFill="0" autoLine="0" autoPict="0">
                <anchor moveWithCells="1">
                  <from>
                    <xdr:col>17</xdr:col>
                    <xdr:colOff>66675</xdr:colOff>
                    <xdr:row>50</xdr:row>
                    <xdr:rowOff>85725</xdr:rowOff>
                  </from>
                  <to>
                    <xdr:col>19</xdr:col>
                    <xdr:colOff>9525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4" name="Check Box 39">
              <controlPr defaultSize="0" autoFill="0" autoLine="0" autoPict="0">
                <anchor moveWithCells="1">
                  <from>
                    <xdr:col>11</xdr:col>
                    <xdr:colOff>76200</xdr:colOff>
                    <xdr:row>51</xdr:row>
                    <xdr:rowOff>85725</xdr:rowOff>
                  </from>
                  <to>
                    <xdr:col>13</xdr:col>
                    <xdr:colOff>19050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5" name="Check Box 41">
              <controlPr defaultSize="0" autoFill="0" autoLine="0" autoPict="0">
                <anchor moveWithCells="1">
                  <from>
                    <xdr:col>14</xdr:col>
                    <xdr:colOff>76200</xdr:colOff>
                    <xdr:row>51</xdr:row>
                    <xdr:rowOff>85725</xdr:rowOff>
                  </from>
                  <to>
                    <xdr:col>16</xdr:col>
                    <xdr:colOff>19050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6" name="Check Box 42">
              <controlPr defaultSize="0" autoFill="0" autoLine="0" autoPict="0">
                <anchor moveWithCells="1">
                  <from>
                    <xdr:col>17</xdr:col>
                    <xdr:colOff>66675</xdr:colOff>
                    <xdr:row>51</xdr:row>
                    <xdr:rowOff>85725</xdr:rowOff>
                  </from>
                  <to>
                    <xdr:col>19</xdr:col>
                    <xdr:colOff>9525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7" name="Check Box 43">
              <controlPr defaultSize="0" autoFill="0" autoLine="0" autoPict="0">
                <anchor moveWithCells="1">
                  <from>
                    <xdr:col>17</xdr:col>
                    <xdr:colOff>76200</xdr:colOff>
                    <xdr:row>52</xdr:row>
                    <xdr:rowOff>38100</xdr:rowOff>
                  </from>
                  <to>
                    <xdr:col>19</xdr:col>
                    <xdr:colOff>19050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8" name="Check Box 44">
              <controlPr defaultSize="0" autoFill="0" autoLine="0" autoPict="0">
                <anchor moveWithCells="1">
                  <from>
                    <xdr:col>11</xdr:col>
                    <xdr:colOff>76200</xdr:colOff>
                    <xdr:row>52</xdr:row>
                    <xdr:rowOff>38100</xdr:rowOff>
                  </from>
                  <to>
                    <xdr:col>13</xdr:col>
                    <xdr:colOff>19050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9" name="Check Box 46">
              <controlPr defaultSize="0" autoFill="0" autoLine="0" autoPict="0">
                <anchor moveWithCells="1">
                  <from>
                    <xdr:col>14</xdr:col>
                    <xdr:colOff>76200</xdr:colOff>
                    <xdr:row>52</xdr:row>
                    <xdr:rowOff>38100</xdr:rowOff>
                  </from>
                  <to>
                    <xdr:col>16</xdr:col>
                    <xdr:colOff>19050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0" name="Check Box 49">
              <controlPr defaultSize="0" autoFill="0" autoLine="0" autoPict="0">
                <anchor moveWithCells="1">
                  <from>
                    <xdr:col>7</xdr:col>
                    <xdr:colOff>161925</xdr:colOff>
                    <xdr:row>24</xdr:row>
                    <xdr:rowOff>28575</xdr:rowOff>
                  </from>
                  <to>
                    <xdr:col>8</xdr:col>
                    <xdr:colOff>285750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1" name="Check Box 50">
              <controlPr defaultSize="0" autoFill="0" autoLine="0" autoPict="0">
                <anchor moveWithCells="1">
                  <from>
                    <xdr:col>11</xdr:col>
                    <xdr:colOff>161925</xdr:colOff>
                    <xdr:row>24</xdr:row>
                    <xdr:rowOff>28575</xdr:rowOff>
                  </from>
                  <to>
                    <xdr:col>13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2" name="Drop Down 51">
              <controlPr defaultSize="0" autoLine="0" autoPict="0">
                <anchor moveWithCells="1">
                  <from>
                    <xdr:col>18</xdr:col>
                    <xdr:colOff>9525</xdr:colOff>
                    <xdr:row>24</xdr:row>
                    <xdr:rowOff>9525</xdr:rowOff>
                  </from>
                  <to>
                    <xdr:col>30</xdr:col>
                    <xdr:colOff>171450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23" name="Check Box 55">
              <controlPr defaultSize="0" autoFill="0" autoLine="0" autoPict="0">
                <anchor moveWithCells="1">
                  <from>
                    <xdr:col>17</xdr:col>
                    <xdr:colOff>66675</xdr:colOff>
                    <xdr:row>53</xdr:row>
                    <xdr:rowOff>38100</xdr:rowOff>
                  </from>
                  <to>
                    <xdr:col>19</xdr:col>
                    <xdr:colOff>9525</xdr:colOff>
                    <xdr:row>53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24" name="Check Box 56">
              <controlPr defaultSize="0" autoFill="0" autoLine="0" autoPict="0">
                <anchor moveWithCells="1">
                  <from>
                    <xdr:col>11</xdr:col>
                    <xdr:colOff>76200</xdr:colOff>
                    <xdr:row>53</xdr:row>
                    <xdr:rowOff>47625</xdr:rowOff>
                  </from>
                  <to>
                    <xdr:col>13</xdr:col>
                    <xdr:colOff>19050</xdr:colOff>
                    <xdr:row>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25" name="Check Box 58">
              <controlPr defaultSize="0" autoFill="0" autoLine="0" autoPict="0">
                <anchor moveWithCells="1">
                  <from>
                    <xdr:col>14</xdr:col>
                    <xdr:colOff>76200</xdr:colOff>
                    <xdr:row>53</xdr:row>
                    <xdr:rowOff>47625</xdr:rowOff>
                  </from>
                  <to>
                    <xdr:col>16</xdr:col>
                    <xdr:colOff>19050</xdr:colOff>
                    <xdr:row>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26" name="Drop Down 96">
              <controlPr defaultSize="0" autoLine="0" autoPict="0">
                <anchor moveWithCells="1">
                  <from>
                    <xdr:col>18</xdr:col>
                    <xdr:colOff>0</xdr:colOff>
                    <xdr:row>23</xdr:row>
                    <xdr:rowOff>19050</xdr:rowOff>
                  </from>
                  <to>
                    <xdr:col>30</xdr:col>
                    <xdr:colOff>171450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27" name="Check Box 102">
              <controlPr defaultSize="0" autoFill="0" autoLine="0" autoPict="0">
                <anchor moveWithCells="1">
                  <from>
                    <xdr:col>11</xdr:col>
                    <xdr:colOff>76200</xdr:colOff>
                    <xdr:row>54</xdr:row>
                    <xdr:rowOff>47625</xdr:rowOff>
                  </from>
                  <to>
                    <xdr:col>13</xdr:col>
                    <xdr:colOff>19050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28" name="Check Box 103">
              <controlPr defaultSize="0" autoFill="0" autoLine="0" autoPict="0">
                <anchor moveWithCells="1">
                  <from>
                    <xdr:col>14</xdr:col>
                    <xdr:colOff>76200</xdr:colOff>
                    <xdr:row>54</xdr:row>
                    <xdr:rowOff>47625</xdr:rowOff>
                  </from>
                  <to>
                    <xdr:col>16</xdr:col>
                    <xdr:colOff>19050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29" name="Check Box 104">
              <controlPr defaultSize="0" autoFill="0" autoLine="0" autoPict="0">
                <anchor moveWithCells="1">
                  <from>
                    <xdr:col>17</xdr:col>
                    <xdr:colOff>66675</xdr:colOff>
                    <xdr:row>54</xdr:row>
                    <xdr:rowOff>47625</xdr:rowOff>
                  </from>
                  <to>
                    <xdr:col>19</xdr:col>
                    <xdr:colOff>9525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30" name="Check Box 118">
              <controlPr defaultSize="0" autoFill="0" autoLine="0" autoPict="0">
                <anchor moveWithCells="1">
                  <from>
                    <xdr:col>11</xdr:col>
                    <xdr:colOff>76200</xdr:colOff>
                    <xdr:row>56</xdr:row>
                    <xdr:rowOff>0</xdr:rowOff>
                  </from>
                  <to>
                    <xdr:col>13</xdr:col>
                    <xdr:colOff>19050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31" name="Check Box 122">
              <controlPr defaultSize="0" autoFill="0" autoLine="0" autoPict="0">
                <anchor moveWithCells="1">
                  <from>
                    <xdr:col>13</xdr:col>
                    <xdr:colOff>28575</xdr:colOff>
                    <xdr:row>26</xdr:row>
                    <xdr:rowOff>38100</xdr:rowOff>
                  </from>
                  <to>
                    <xdr:col>14</xdr:col>
                    <xdr:colOff>152400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32" name="Check Box 123">
              <controlPr defaultSize="0" autoFill="0" autoLine="0" autoPict="0">
                <anchor moveWithCells="1">
                  <from>
                    <xdr:col>15</xdr:col>
                    <xdr:colOff>104775</xdr:colOff>
                    <xdr:row>26</xdr:row>
                    <xdr:rowOff>28575</xdr:rowOff>
                  </from>
                  <to>
                    <xdr:col>17</xdr:col>
                    <xdr:colOff>47625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33" name="Check Box 124">
              <controlPr defaultSize="0" autoFill="0" autoLine="0" autoPict="0">
                <anchor moveWithCells="1">
                  <from>
                    <xdr:col>18</xdr:col>
                    <xdr:colOff>0</xdr:colOff>
                    <xdr:row>26</xdr:row>
                    <xdr:rowOff>38100</xdr:rowOff>
                  </from>
                  <to>
                    <xdr:col>19</xdr:col>
                    <xdr:colOff>123825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34" name="Check Box 125">
              <controlPr defaultSize="0" autoFill="0" autoLine="0" autoPict="0">
                <anchor moveWithCells="1">
                  <from>
                    <xdr:col>13</xdr:col>
                    <xdr:colOff>28575</xdr:colOff>
                    <xdr:row>28</xdr:row>
                    <xdr:rowOff>28575</xdr:rowOff>
                  </from>
                  <to>
                    <xdr:col>14</xdr:col>
                    <xdr:colOff>152400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35" name="Check Box 126">
              <controlPr defaultSize="0" autoFill="0" autoLine="0" autoPict="0">
                <anchor moveWithCells="1">
                  <from>
                    <xdr:col>15</xdr:col>
                    <xdr:colOff>123825</xdr:colOff>
                    <xdr:row>28</xdr:row>
                    <xdr:rowOff>28575</xdr:rowOff>
                  </from>
                  <to>
                    <xdr:col>17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36" name="Check Box 127">
              <controlPr defaultSize="0" autoFill="0" autoLine="0" autoPict="0">
                <anchor moveWithCells="1">
                  <from>
                    <xdr:col>18</xdr:col>
                    <xdr:colOff>9525</xdr:colOff>
                    <xdr:row>28</xdr:row>
                    <xdr:rowOff>28575</xdr:rowOff>
                  </from>
                  <to>
                    <xdr:col>19</xdr:col>
                    <xdr:colOff>133350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37" name="Option Button 131">
              <controlPr defaultSize="0" autoFill="0" autoLine="0" autoPict="0">
                <anchor moveWithCells="1">
                  <from>
                    <xdr:col>14</xdr:col>
                    <xdr:colOff>171450</xdr:colOff>
                    <xdr:row>36</xdr:row>
                    <xdr:rowOff>180975</xdr:rowOff>
                  </from>
                  <to>
                    <xdr:col>19</xdr:col>
                    <xdr:colOff>57150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38" name="Option Button 132">
              <controlPr defaultSize="0" autoFill="0" autoLine="0" autoPict="0">
                <anchor moveWithCells="1">
                  <from>
                    <xdr:col>24</xdr:col>
                    <xdr:colOff>161925</xdr:colOff>
                    <xdr:row>37</xdr:row>
                    <xdr:rowOff>9525</xdr:rowOff>
                  </from>
                  <to>
                    <xdr:col>28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39" name="Check Box 139">
              <controlPr defaultSize="0" autoFill="0" autoLine="0" autoPict="0">
                <anchor moveWithCells="1">
                  <from>
                    <xdr:col>13</xdr:col>
                    <xdr:colOff>19050</xdr:colOff>
                    <xdr:row>29</xdr:row>
                    <xdr:rowOff>47625</xdr:rowOff>
                  </from>
                  <to>
                    <xdr:col>14</xdr:col>
                    <xdr:colOff>142875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40" name="Check Box 140">
              <controlPr defaultSize="0" autoFill="0" autoLine="0" autoPict="0">
                <anchor moveWithCells="1">
                  <from>
                    <xdr:col>15</xdr:col>
                    <xdr:colOff>133350</xdr:colOff>
                    <xdr:row>29</xdr:row>
                    <xdr:rowOff>28575</xdr:rowOff>
                  </from>
                  <to>
                    <xdr:col>17</xdr:col>
                    <xdr:colOff>76200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41" name="Check Box 141">
              <controlPr defaultSize="0" autoFill="0" autoLine="0" autoPict="0">
                <anchor moveWithCells="1">
                  <from>
                    <xdr:col>18</xdr:col>
                    <xdr:colOff>19050</xdr:colOff>
                    <xdr:row>29</xdr:row>
                    <xdr:rowOff>28575</xdr:rowOff>
                  </from>
                  <to>
                    <xdr:col>19</xdr:col>
                    <xdr:colOff>142875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42" name="Option Button 146">
              <controlPr defaultSize="0" autoFill="0" autoLine="0" autoPict="0">
                <anchor moveWithCells="1">
                  <from>
                    <xdr:col>23</xdr:col>
                    <xdr:colOff>57150</xdr:colOff>
                    <xdr:row>41</xdr:row>
                    <xdr:rowOff>19050</xdr:rowOff>
                  </from>
                  <to>
                    <xdr:col>27</xdr:col>
                    <xdr:colOff>9525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43" name="Option Button 147">
              <controlPr defaultSize="0" autoFill="0" autoLine="0" autoPict="0">
                <anchor moveWithCells="1">
                  <from>
                    <xdr:col>20</xdr:col>
                    <xdr:colOff>104775</xdr:colOff>
                    <xdr:row>41</xdr:row>
                    <xdr:rowOff>19050</xdr:rowOff>
                  </from>
                  <to>
                    <xdr:col>22</xdr:col>
                    <xdr:colOff>295275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44" name="Group Box 148">
              <controlPr defaultSize="0" autoFill="0" autoPict="0">
                <anchor moveWithCells="1">
                  <from>
                    <xdr:col>0</xdr:col>
                    <xdr:colOff>0</xdr:colOff>
                    <xdr:row>59</xdr:row>
                    <xdr:rowOff>9525</xdr:rowOff>
                  </from>
                  <to>
                    <xdr:col>31</xdr:col>
                    <xdr:colOff>104775</xdr:colOff>
                    <xdr:row>59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45" name="Option Button 149">
              <controlPr defaultSize="0" autoFill="0" autoLine="0" autoPict="0">
                <anchor moveWithCells="1">
                  <from>
                    <xdr:col>27</xdr:col>
                    <xdr:colOff>133350</xdr:colOff>
                    <xdr:row>59</xdr:row>
                    <xdr:rowOff>95250</xdr:rowOff>
                  </from>
                  <to>
                    <xdr:col>30</xdr:col>
                    <xdr:colOff>152400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46" name="Option Button 150">
              <controlPr defaultSize="0" autoFill="0" autoLine="0" autoPict="0">
                <anchor moveWithCells="1">
                  <from>
                    <xdr:col>21</xdr:col>
                    <xdr:colOff>28575</xdr:colOff>
                    <xdr:row>59</xdr:row>
                    <xdr:rowOff>85725</xdr:rowOff>
                  </from>
                  <to>
                    <xdr:col>22</xdr:col>
                    <xdr:colOff>200025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47" name="Drop Down 151">
              <controlPr defaultSize="0" autoLine="0" autoPict="0">
                <anchor moveWithCells="1">
                  <from>
                    <xdr:col>6</xdr:col>
                    <xdr:colOff>95250</xdr:colOff>
                    <xdr:row>32</xdr:row>
                    <xdr:rowOff>0</xdr:rowOff>
                  </from>
                  <to>
                    <xdr:col>8</xdr:col>
                    <xdr:colOff>285750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48" name="Drop Down 152">
              <controlPr defaultSize="0" autoLine="0" autoPict="0">
                <anchor moveWithCells="1">
                  <from>
                    <xdr:col>6</xdr:col>
                    <xdr:colOff>57150</xdr:colOff>
                    <xdr:row>31</xdr:row>
                    <xdr:rowOff>57150</xdr:rowOff>
                  </from>
                  <to>
                    <xdr:col>18</xdr:col>
                    <xdr:colOff>142875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49" name="Check Box 153">
              <controlPr defaultSize="0" autoFill="0" autoLine="0" autoPict="0">
                <anchor moveWithCells="1">
                  <from>
                    <xdr:col>27</xdr:col>
                    <xdr:colOff>57150</xdr:colOff>
                    <xdr:row>30</xdr:row>
                    <xdr:rowOff>47625</xdr:rowOff>
                  </from>
                  <to>
                    <xdr:col>29</xdr:col>
                    <xdr:colOff>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50" name="Check Box 154">
              <controlPr defaultSize="0" autoFill="0" autoLine="0" autoPict="0">
                <anchor moveWithCells="1">
                  <from>
                    <xdr:col>0</xdr:col>
                    <xdr:colOff>0</xdr:colOff>
                    <xdr:row>77</xdr:row>
                    <xdr:rowOff>161925</xdr:rowOff>
                  </from>
                  <to>
                    <xdr:col>1</xdr:col>
                    <xdr:colOff>123825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51" name="Check Box 155">
              <controlPr defaultSize="0" autoFill="0" autoLine="0" autoPict="0">
                <anchor moveWithCells="1">
                  <from>
                    <xdr:col>0</xdr:col>
                    <xdr:colOff>0</xdr:colOff>
                    <xdr:row>80</xdr:row>
                    <xdr:rowOff>0</xdr:rowOff>
                  </from>
                  <to>
                    <xdr:col>1</xdr:col>
                    <xdr:colOff>123825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52" name="Check Box 156">
              <controlPr defaultSize="0" autoFill="0" autoLine="0" autoPict="0">
                <anchor moveWithCells="1">
                  <from>
                    <xdr:col>0</xdr:col>
                    <xdr:colOff>0</xdr:colOff>
                    <xdr:row>82</xdr:row>
                    <xdr:rowOff>200025</xdr:rowOff>
                  </from>
                  <to>
                    <xdr:col>1</xdr:col>
                    <xdr:colOff>123825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53" name="Check Box 158">
              <controlPr defaultSize="0" autoFill="0" autoLine="0" autoPict="0">
                <anchor moveWithCells="1">
                  <from>
                    <xdr:col>0</xdr:col>
                    <xdr:colOff>0</xdr:colOff>
                    <xdr:row>79</xdr:row>
                    <xdr:rowOff>0</xdr:rowOff>
                  </from>
                  <to>
                    <xdr:col>1</xdr:col>
                    <xdr:colOff>123825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54" name="Check Box 159">
              <controlPr defaultSize="0" autoFill="0" autoLine="0" autoPict="0">
                <anchor moveWithCells="1">
                  <from>
                    <xdr:col>0</xdr:col>
                    <xdr:colOff>0</xdr:colOff>
                    <xdr:row>80</xdr:row>
                    <xdr:rowOff>200025</xdr:rowOff>
                  </from>
                  <to>
                    <xdr:col>1</xdr:col>
                    <xdr:colOff>123825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55" name="Check Box 160">
              <controlPr defaultSize="0" autoFill="0" autoLine="0" autoPict="0">
                <anchor moveWithCells="1">
                  <from>
                    <xdr:col>0</xdr:col>
                    <xdr:colOff>0</xdr:colOff>
                    <xdr:row>82</xdr:row>
                    <xdr:rowOff>0</xdr:rowOff>
                  </from>
                  <to>
                    <xdr:col>1</xdr:col>
                    <xdr:colOff>123825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56" name="Check Box 161">
              <controlPr defaultSize="0" autoFill="0" autoLine="0" autoPict="0">
                <anchor moveWithCells="1">
                  <from>
                    <xdr:col>0</xdr:col>
                    <xdr:colOff>0</xdr:colOff>
                    <xdr:row>85</xdr:row>
                    <xdr:rowOff>19050</xdr:rowOff>
                  </from>
                  <to>
                    <xdr:col>1</xdr:col>
                    <xdr:colOff>123825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57" name="Check Box 162">
              <controlPr defaultSize="0" autoFill="0" autoLine="0" autoPict="0">
                <anchor moveWithCells="1">
                  <from>
                    <xdr:col>0</xdr:col>
                    <xdr:colOff>0</xdr:colOff>
                    <xdr:row>84</xdr:row>
                    <xdr:rowOff>0</xdr:rowOff>
                  </from>
                  <to>
                    <xdr:col>1</xdr:col>
                    <xdr:colOff>123825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58" name="Check Box 163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190500</xdr:rowOff>
                  </from>
                  <to>
                    <xdr:col>11</xdr:col>
                    <xdr:colOff>95250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59" name="Check Box 164">
              <controlPr defaultSize="0" autoFill="0" autoLine="0" autoPict="0">
                <anchor moveWithCells="1">
                  <from>
                    <xdr:col>10</xdr:col>
                    <xdr:colOff>0</xdr:colOff>
                    <xdr:row>79</xdr:row>
                    <xdr:rowOff>200025</xdr:rowOff>
                  </from>
                  <to>
                    <xdr:col>11</xdr:col>
                    <xdr:colOff>123825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60" name="Check Box 165">
              <controlPr defaultSize="0" autoFill="0" autoLine="0" autoPict="0">
                <anchor moveWithCells="1">
                  <from>
                    <xdr:col>10</xdr:col>
                    <xdr:colOff>0</xdr:colOff>
                    <xdr:row>81</xdr:row>
                    <xdr:rowOff>200025</xdr:rowOff>
                  </from>
                  <to>
                    <xdr:col>11</xdr:col>
                    <xdr:colOff>123825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61" name="Check Box 166">
              <controlPr defaultSize="0" autoFill="0" autoLine="0" autoPict="0">
                <anchor moveWithCells="1">
                  <from>
                    <xdr:col>10</xdr:col>
                    <xdr:colOff>0</xdr:colOff>
                    <xdr:row>82</xdr:row>
                    <xdr:rowOff>200025</xdr:rowOff>
                  </from>
                  <to>
                    <xdr:col>11</xdr:col>
                    <xdr:colOff>123825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62" name="Check Box 167">
              <controlPr defaultSize="0" autoFill="0" autoLine="0" autoPict="0">
                <anchor moveWithCells="1">
                  <from>
                    <xdr:col>10</xdr:col>
                    <xdr:colOff>0</xdr:colOff>
                    <xdr:row>83</xdr:row>
                    <xdr:rowOff>200025</xdr:rowOff>
                  </from>
                  <to>
                    <xdr:col>11</xdr:col>
                    <xdr:colOff>123825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63" name="Check Box 168">
              <controlPr defaultSize="0" autoFill="0" autoLine="0" autoPict="0">
                <anchor moveWithCells="1">
                  <from>
                    <xdr:col>10</xdr:col>
                    <xdr:colOff>0</xdr:colOff>
                    <xdr:row>84</xdr:row>
                    <xdr:rowOff>200025</xdr:rowOff>
                  </from>
                  <to>
                    <xdr:col>11</xdr:col>
                    <xdr:colOff>123825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64" name="Check Box 169">
              <controlPr defaultSize="0" autoFill="0" autoLine="0" autoPict="0">
                <anchor moveWithCells="1">
                  <from>
                    <xdr:col>10</xdr:col>
                    <xdr:colOff>0</xdr:colOff>
                    <xdr:row>85</xdr:row>
                    <xdr:rowOff>200025</xdr:rowOff>
                  </from>
                  <to>
                    <xdr:col>11</xdr:col>
                    <xdr:colOff>123825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65" name="Check Box 170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9525</xdr:rowOff>
                  </from>
                  <to>
                    <xdr:col>11</xdr:col>
                    <xdr:colOff>142875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66" name="Check Box 172">
              <controlPr defaultSize="0" autoFill="0" autoLine="0" autoPict="0">
                <anchor moveWithCells="1">
                  <from>
                    <xdr:col>22</xdr:col>
                    <xdr:colOff>123825</xdr:colOff>
                    <xdr:row>78</xdr:row>
                    <xdr:rowOff>190500</xdr:rowOff>
                  </from>
                  <to>
                    <xdr:col>23</xdr:col>
                    <xdr:colOff>104775</xdr:colOff>
                    <xdr:row>79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67" name="Check Box 173">
              <controlPr defaultSize="0" autoFill="0" autoLine="0" autoPict="0">
                <anchor moveWithCells="1">
                  <from>
                    <xdr:col>22</xdr:col>
                    <xdr:colOff>123825</xdr:colOff>
                    <xdr:row>80</xdr:row>
                    <xdr:rowOff>0</xdr:rowOff>
                  </from>
                  <to>
                    <xdr:col>23</xdr:col>
                    <xdr:colOff>104775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68" name="Check Box 174">
              <controlPr defaultSize="0" autoFill="0" autoLine="0" autoPict="0">
                <anchor moveWithCells="1">
                  <from>
                    <xdr:col>22</xdr:col>
                    <xdr:colOff>123825</xdr:colOff>
                    <xdr:row>82</xdr:row>
                    <xdr:rowOff>0</xdr:rowOff>
                  </from>
                  <to>
                    <xdr:col>23</xdr:col>
                    <xdr:colOff>104775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69" name="Check Box 175">
              <controlPr defaultSize="0" autoFill="0" autoLine="0" autoPict="0">
                <anchor moveWithCells="1">
                  <from>
                    <xdr:col>22</xdr:col>
                    <xdr:colOff>123825</xdr:colOff>
                    <xdr:row>82</xdr:row>
                    <xdr:rowOff>200025</xdr:rowOff>
                  </from>
                  <to>
                    <xdr:col>23</xdr:col>
                    <xdr:colOff>104775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70" name="Check Box 176">
              <controlPr defaultSize="0" autoFill="0" autoLine="0" autoPict="0">
                <anchor moveWithCells="1">
                  <from>
                    <xdr:col>22</xdr:col>
                    <xdr:colOff>123825</xdr:colOff>
                    <xdr:row>83</xdr:row>
                    <xdr:rowOff>200025</xdr:rowOff>
                  </from>
                  <to>
                    <xdr:col>23</xdr:col>
                    <xdr:colOff>104775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71" name="Check Box 177">
              <controlPr defaultSize="0" autoFill="0" autoLine="0" autoPict="0">
                <anchor moveWithCells="1">
                  <from>
                    <xdr:col>22</xdr:col>
                    <xdr:colOff>123825</xdr:colOff>
                    <xdr:row>84</xdr:row>
                    <xdr:rowOff>190500</xdr:rowOff>
                  </from>
                  <to>
                    <xdr:col>23</xdr:col>
                    <xdr:colOff>104775</xdr:colOff>
                    <xdr:row>85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72" name="Check Box 179">
              <controlPr defaultSize="0" autoFill="0" autoLine="0" autoPict="0">
                <anchor moveWithCells="1">
                  <from>
                    <xdr:col>22</xdr:col>
                    <xdr:colOff>123825</xdr:colOff>
                    <xdr:row>85</xdr:row>
                    <xdr:rowOff>200025</xdr:rowOff>
                  </from>
                  <to>
                    <xdr:col>23</xdr:col>
                    <xdr:colOff>104775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73" name="Option Button 214">
              <controlPr defaultSize="0" autoFill="0" autoLine="0" autoPict="0">
                <anchor moveWithCells="1">
                  <from>
                    <xdr:col>18</xdr:col>
                    <xdr:colOff>66675</xdr:colOff>
                    <xdr:row>37</xdr:row>
                    <xdr:rowOff>38100</xdr:rowOff>
                  </from>
                  <to>
                    <xdr:col>24</xdr:col>
                    <xdr:colOff>19050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74" name="Option Button 215">
              <controlPr defaultSize="0" autoFill="0" autoLine="0" autoPict="0">
                <anchor moveWithCells="1">
                  <from>
                    <xdr:col>22</xdr:col>
                    <xdr:colOff>209550</xdr:colOff>
                    <xdr:row>59</xdr:row>
                    <xdr:rowOff>85725</xdr:rowOff>
                  </from>
                  <to>
                    <xdr:col>27</xdr:col>
                    <xdr:colOff>95250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75" name="Check Box 220">
              <controlPr defaultSize="0" autoFill="0" autoLine="0" autoPict="0">
                <anchor moveWithCells="1">
                  <from>
                    <xdr:col>29</xdr:col>
                    <xdr:colOff>9525</xdr:colOff>
                    <xdr:row>16</xdr:row>
                    <xdr:rowOff>123825</xdr:rowOff>
                  </from>
                  <to>
                    <xdr:col>32</xdr:col>
                    <xdr:colOff>28575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76" name="Check Box 221">
              <controlPr defaultSize="0" autoFill="0" autoLine="0" autoPict="0">
                <anchor moveWithCells="1">
                  <from>
                    <xdr:col>25</xdr:col>
                    <xdr:colOff>171450</xdr:colOff>
                    <xdr:row>16</xdr:row>
                    <xdr:rowOff>114300</xdr:rowOff>
                  </from>
                  <to>
                    <xdr:col>27</xdr:col>
                    <xdr:colOff>114300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77" name="Check Box 222">
              <controlPr defaultSize="0" autoFill="0" autoLine="0" autoPict="0">
                <anchor moveWithCells="1">
                  <from>
                    <xdr:col>0</xdr:col>
                    <xdr:colOff>0</xdr:colOff>
                    <xdr:row>86</xdr:row>
                    <xdr:rowOff>0</xdr:rowOff>
                  </from>
                  <to>
                    <xdr:col>1</xdr:col>
                    <xdr:colOff>123825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78" name="Check Box 224">
              <controlPr defaultSize="0" autoFill="0" autoLine="0" autoPict="0">
                <anchor moveWithCells="1">
                  <from>
                    <xdr:col>22</xdr:col>
                    <xdr:colOff>123825</xdr:colOff>
                    <xdr:row>80</xdr:row>
                    <xdr:rowOff>190500</xdr:rowOff>
                  </from>
                  <to>
                    <xdr:col>23</xdr:col>
                    <xdr:colOff>104775</xdr:colOff>
                    <xdr:row>81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79" name="Check Box 225">
              <controlPr defaultSize="0" autoFill="0" autoLine="0" autoPict="0">
                <anchor moveWithCells="1">
                  <from>
                    <xdr:col>9</xdr:col>
                    <xdr:colOff>171450</xdr:colOff>
                    <xdr:row>80</xdr:row>
                    <xdr:rowOff>200025</xdr:rowOff>
                  </from>
                  <to>
                    <xdr:col>11</xdr:col>
                    <xdr:colOff>114300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80" name="Check Box 226">
              <controlPr defaultSize="0" autoFill="0" autoLine="0" autoPict="0">
                <anchor moveWithCells="1">
                  <from>
                    <xdr:col>22</xdr:col>
                    <xdr:colOff>123825</xdr:colOff>
                    <xdr:row>78</xdr:row>
                    <xdr:rowOff>0</xdr:rowOff>
                  </from>
                  <to>
                    <xdr:col>23</xdr:col>
                    <xdr:colOff>104775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81" name="Check Box 227">
              <controlPr defaultSize="0" autoFill="0" autoLine="0" autoPict="0">
                <anchor moveWithCells="1">
                  <from>
                    <xdr:col>13</xdr:col>
                    <xdr:colOff>28575</xdr:colOff>
                    <xdr:row>27</xdr:row>
                    <xdr:rowOff>38100</xdr:rowOff>
                  </from>
                  <to>
                    <xdr:col>14</xdr:col>
                    <xdr:colOff>152400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82" name="Check Box 228">
              <controlPr defaultSize="0" autoFill="0" autoLine="0" autoPict="0">
                <anchor moveWithCells="1">
                  <from>
                    <xdr:col>15</xdr:col>
                    <xdr:colOff>104775</xdr:colOff>
                    <xdr:row>27</xdr:row>
                    <xdr:rowOff>28575</xdr:rowOff>
                  </from>
                  <to>
                    <xdr:col>17</xdr:col>
                    <xdr:colOff>47625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83" name="Check Box 229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38100</xdr:rowOff>
                  </from>
                  <to>
                    <xdr:col>19</xdr:col>
                    <xdr:colOff>123825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84" name="Check Box 238">
              <controlPr defaultSize="0" autoFill="0" autoLine="0" autoPict="0">
                <anchor moveWithCells="1">
                  <from>
                    <xdr:col>22</xdr:col>
                    <xdr:colOff>123825</xdr:colOff>
                    <xdr:row>82</xdr:row>
                    <xdr:rowOff>200025</xdr:rowOff>
                  </from>
                  <to>
                    <xdr:col>23</xdr:col>
                    <xdr:colOff>104775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85" name="Check Box 240">
              <controlPr defaultSize="0" autoFill="0" autoLine="0" autoPict="0">
                <anchor moveWithCells="1">
                  <from>
                    <xdr:col>11</xdr:col>
                    <xdr:colOff>38100</xdr:colOff>
                    <xdr:row>38</xdr:row>
                    <xdr:rowOff>0</xdr:rowOff>
                  </from>
                  <to>
                    <xdr:col>14</xdr:col>
                    <xdr:colOff>133350</xdr:colOff>
                    <xdr:row>38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3:T40"/>
  <sheetViews>
    <sheetView workbookViewId="0">
      <selection activeCell="D31" sqref="D31"/>
    </sheetView>
  </sheetViews>
  <sheetFormatPr baseColWidth="10" defaultRowHeight="12.75" x14ac:dyDescent="0.2"/>
  <cols>
    <col min="2" max="2" width="14.85546875" customWidth="1"/>
    <col min="3" max="3" width="14.140625" customWidth="1"/>
    <col min="4" max="4" width="11.85546875" customWidth="1"/>
    <col min="5" max="5" width="14.5703125" customWidth="1"/>
    <col min="7" max="7" width="15.7109375" customWidth="1"/>
    <col min="8" max="8" width="8.140625" customWidth="1"/>
    <col min="9" max="9" width="18" customWidth="1"/>
    <col min="10" max="10" width="8.140625" customWidth="1"/>
  </cols>
  <sheetData>
    <row r="3" spans="1:20" x14ac:dyDescent="0.2">
      <c r="A3" s="7" t="s">
        <v>87</v>
      </c>
      <c r="B3" s="6"/>
      <c r="C3" s="7" t="s">
        <v>87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0" s="2" customFormat="1" ht="69.75" customHeight="1" x14ac:dyDescent="0.2">
      <c r="A4" s="154" t="s">
        <v>728</v>
      </c>
      <c r="B4" s="155"/>
      <c r="C4" s="154" t="s">
        <v>724</v>
      </c>
      <c r="D4" s="155"/>
      <c r="E4" s="154" t="s">
        <v>725</v>
      </c>
      <c r="F4" s="155"/>
      <c r="G4" s="154" t="s">
        <v>726</v>
      </c>
      <c r="H4" s="155"/>
      <c r="I4" s="156" t="s">
        <v>727</v>
      </c>
      <c r="J4" s="155"/>
      <c r="K4" s="155"/>
      <c r="L4" s="155" t="s">
        <v>181</v>
      </c>
      <c r="M4" s="155"/>
      <c r="N4" s="155" t="s">
        <v>190</v>
      </c>
      <c r="O4" s="155"/>
      <c r="P4" s="155" t="s">
        <v>196</v>
      </c>
      <c r="Q4" s="155"/>
      <c r="S4" s="155" t="s">
        <v>183</v>
      </c>
      <c r="T4" s="155"/>
    </row>
    <row r="5" spans="1:20" x14ac:dyDescent="0.2">
      <c r="A5" s="33" t="b">
        <v>0</v>
      </c>
      <c r="B5" s="32" t="str">
        <f>IF(A5=TRUE,"Quantitativ u.qualitativ (sehr) gut.",IF(A5=FALSE,""))</f>
        <v/>
      </c>
      <c r="C5" s="33" t="b">
        <v>0</v>
      </c>
      <c r="D5" s="32" t="str">
        <f>IF(C5=TRUE,"Detaillierte Beschreibung- Anforderung der Rahmenbedingungen voll erfüllt.",IF(C5=FALSE,""))</f>
        <v/>
      </c>
      <c r="E5" s="33" t="b">
        <v>0</v>
      </c>
      <c r="F5" s="32" t="str">
        <f>IF(E5=TRUE,"Detaillierte Beschreibung - Anforderung der Rahmenbedingung voll  erfüllt.",IF(E5=FALSE,""))</f>
        <v/>
      </c>
      <c r="G5" s="33" t="b">
        <v>0</v>
      </c>
      <c r="H5" s="32" t="str">
        <f>IF(G5=TRUE,"Aussagekräftig, passend zu  Rahmendbed..",IF(G5=FALSE,""))</f>
        <v/>
      </c>
      <c r="I5" s="6" t="b">
        <v>0</v>
      </c>
      <c r="J5" s="93" t="str">
        <f>IF(I5=TRUE,"Einbindung in reg. Strukturen vorhanden.",IF(I5=FALSE,""))</f>
        <v/>
      </c>
      <c r="K5" s="6"/>
      <c r="L5" s="6" t="b">
        <v>1</v>
      </c>
      <c r="M5" s="6" t="str">
        <f>IF(L5=TRUE,"Aufbau, Zeitplan, Ablauf schlüssig.",IF(L5=FALSE,""))</f>
        <v>Aufbau, Zeitplan, Ablauf schlüssig.</v>
      </c>
      <c r="N5" s="6" t="b">
        <v>1</v>
      </c>
      <c r="O5" s="6" t="str">
        <f>IF(N5=TRUE,"Einbindung in reg. Strukturen vorhanden.",IF(N5=FALSE,""))</f>
        <v>Einbindung in reg. Strukturen vorhanden.</v>
      </c>
      <c r="P5" s="6" t="b">
        <v>0</v>
      </c>
      <c r="Q5" s="6" t="str">
        <f>IF(P5=TRUE,"Angemessene Methoden u. Instrumente.",IF(P5=FALSE,""))</f>
        <v/>
      </c>
      <c r="S5" s="6" t="b">
        <v>0</v>
      </c>
      <c r="T5" s="6" t="str">
        <f>IF(S5=TRUE,"Hervorhebendes Merkmal vorhanden.",IF(S5=FALSE,""))</f>
        <v/>
      </c>
    </row>
    <row r="6" spans="1:20" x14ac:dyDescent="0.2">
      <c r="A6" s="33" t="b">
        <v>0</v>
      </c>
      <c r="B6" s="32" t="str">
        <f>IF(A6=TRUE,"Zu allgemein.",IF(A6=FALSE,""))</f>
        <v/>
      </c>
      <c r="C6" s="33" t="b">
        <v>0</v>
      </c>
      <c r="D6" s="32" t="str">
        <f>IF(C6=TRUE,"Oberflächlich-ungenaue Beschreibung.",IF(C6=FALSE,""))</f>
        <v/>
      </c>
      <c r="E6" s="33" t="b">
        <v>0</v>
      </c>
      <c r="F6" s="32" t="str">
        <f>IF(E6=TRUE,"Ungenaue Beschreibung, nur Ansätze.",IF(E6=FALSE,""))</f>
        <v/>
      </c>
      <c r="G6" s="33" t="b">
        <v>0</v>
      </c>
      <c r="H6" s="32" t="str">
        <f>IF(G6=TRUE,"Ungenaue Beschreibung",IF(G6=FALSE,""))</f>
        <v/>
      </c>
      <c r="I6" s="6" t="b">
        <v>0</v>
      </c>
      <c r="J6" s="93" t="str">
        <f>IF(I6=TRUE,"Allgemeine Aussagen, unkonkret.",IF(I6=FALSE,""))</f>
        <v/>
      </c>
      <c r="K6" s="6"/>
      <c r="L6" s="6" t="b">
        <v>0</v>
      </c>
      <c r="M6" s="6" t="str">
        <f>IF(L6=TRUE,"Unvollständige Darstellung.",IF(L6=FALSE,""))</f>
        <v/>
      </c>
      <c r="N6" s="6" t="b">
        <v>0</v>
      </c>
      <c r="O6" s="6" t="str">
        <f>IF(N6=TRUE,"Allgemeine Aussagen, unkonkret.",IF(N6=FALSE,""))</f>
        <v/>
      </c>
      <c r="P6" s="6" t="b">
        <v>0</v>
      </c>
      <c r="Q6" s="6" t="str">
        <f>IF(P6=TRUE,"Nennung von Methoden ohne Erläuterung.",IF(P6=FALSE,""))</f>
        <v/>
      </c>
      <c r="S6" s="6"/>
      <c r="T6" s="6"/>
    </row>
    <row r="7" spans="1:20" x14ac:dyDescent="0.2">
      <c r="A7" s="33" t="b">
        <v>0</v>
      </c>
      <c r="B7" s="32" t="str">
        <f>IF(A7=TRUE,"Erhebliche Defizite.",IF(A7=FALSE,""))</f>
        <v/>
      </c>
      <c r="C7" s="33" t="b">
        <v>0</v>
      </c>
      <c r="D7" s="32" t="str">
        <f>IF(C7=TRUE,"Erhebliche Defizite.",IF(C7=FALSE,""))</f>
        <v/>
      </c>
      <c r="E7" s="33" t="b">
        <v>0</v>
      </c>
      <c r="F7" s="32" t="str">
        <f>IF(E7=TRUE,"Erhebliche Defizite.",IF(E7=FALSE,""))</f>
        <v/>
      </c>
      <c r="G7" s="33" t="b">
        <v>0</v>
      </c>
      <c r="H7" s="32" t="str">
        <f>IF(G7=TRUE,"Erhebliche Defizite.",IF(G7=FALSE,""))</f>
        <v/>
      </c>
      <c r="I7" s="6" t="b">
        <v>0</v>
      </c>
      <c r="J7" s="93" t="str">
        <f>IF(I7=TRUE,"Erhebliche Defizite.",IF(I7=FALSE,""))</f>
        <v/>
      </c>
      <c r="K7" s="6"/>
      <c r="L7" s="6" t="b">
        <v>0</v>
      </c>
      <c r="M7" s="6" t="str">
        <f>IF(L7=TRUE,"Erhebliche Defizite.",IF(L7=FALSE,""))</f>
        <v/>
      </c>
      <c r="N7" s="6" t="b">
        <v>0</v>
      </c>
      <c r="O7" s="6" t="str">
        <f>IF(N7=TRUE,"Erhebliche Defizite.",IF(N7=FALSE,""))</f>
        <v/>
      </c>
      <c r="P7" s="6" t="b">
        <v>0</v>
      </c>
      <c r="Q7" s="6" t="str">
        <f>IF(P7=TRUE,"Erhebliche Defizite.",IF(P7=FALSE,""))</f>
        <v/>
      </c>
      <c r="S7" s="6"/>
      <c r="T7" s="6"/>
    </row>
    <row r="8" spans="1:20" x14ac:dyDescent="0.2">
      <c r="A8" s="6" t="s">
        <v>134</v>
      </c>
      <c r="B8" s="6" t="str">
        <f>CONCATENATE(B5,B6,B7)</f>
        <v/>
      </c>
      <c r="C8" s="6" t="s">
        <v>134</v>
      </c>
      <c r="D8" s="6" t="str">
        <f>CONCATENATE(D5,D6,D7)</f>
        <v/>
      </c>
      <c r="E8" s="6" t="s">
        <v>134</v>
      </c>
      <c r="F8" s="6" t="str">
        <f>CONCATENATE(F5,F6,F7)</f>
        <v/>
      </c>
      <c r="G8" s="6" t="s">
        <v>134</v>
      </c>
      <c r="H8" s="6" t="str">
        <f>CONCATENATE(H5,H6,H7)</f>
        <v/>
      </c>
      <c r="I8" s="6" t="s">
        <v>134</v>
      </c>
      <c r="J8" s="6" t="str">
        <f>CONCATENATE(J5,J6,J7)</f>
        <v/>
      </c>
      <c r="K8" s="6"/>
      <c r="L8" s="6" t="s">
        <v>134</v>
      </c>
      <c r="M8" s="6" t="str">
        <f>CONCATENATE(M5,M6,M7)</f>
        <v>Aufbau, Zeitplan, Ablauf schlüssig.</v>
      </c>
      <c r="N8" s="6" t="s">
        <v>134</v>
      </c>
      <c r="O8" s="6" t="str">
        <f>CONCATENATE(O5,O6,O7)</f>
        <v>Einbindung in reg. Strukturen vorhanden.</v>
      </c>
      <c r="P8" s="6" t="s">
        <v>134</v>
      </c>
      <c r="Q8" s="6" t="str">
        <f>CONCATENATE(Q5,Q6,Q7)</f>
        <v/>
      </c>
      <c r="S8" s="6" t="s">
        <v>134</v>
      </c>
      <c r="T8" s="6" t="str">
        <f>CONCATENATE(T5,T6,T7)</f>
        <v/>
      </c>
    </row>
    <row r="11" spans="1:20" x14ac:dyDescent="0.2">
      <c r="A11" t="s">
        <v>143</v>
      </c>
    </row>
    <row r="12" spans="1:20" s="2" customFormat="1" ht="81" customHeight="1" x14ac:dyDescent="0.2">
      <c r="A12" s="2" t="s">
        <v>728</v>
      </c>
      <c r="B12" s="2" t="s">
        <v>724</v>
      </c>
      <c r="C12" s="2" t="s">
        <v>725</v>
      </c>
      <c r="D12" s="2" t="s">
        <v>726</v>
      </c>
      <c r="E12" s="2" t="s">
        <v>727</v>
      </c>
      <c r="F12" s="2" t="s">
        <v>181</v>
      </c>
      <c r="G12" s="2" t="s">
        <v>190</v>
      </c>
      <c r="H12" s="2" t="s">
        <v>192</v>
      </c>
      <c r="J12" s="2" t="s">
        <v>191</v>
      </c>
    </row>
    <row r="13" spans="1:20" x14ac:dyDescent="0.2">
      <c r="A13">
        <f>IF(A5=TRUE,10,IF(A5=FALSE,0))</f>
        <v>0</v>
      </c>
      <c r="B13">
        <f>IF(C5=TRUE,20,IF(C5=FALSE,0))</f>
        <v>0</v>
      </c>
      <c r="C13">
        <f>IF(E5=TRUE,30,IF(E5=FALSE,0))</f>
        <v>0</v>
      </c>
      <c r="D13">
        <f>IF(G5=TRUE,30,IF(G5=FALSE,0))</f>
        <v>0</v>
      </c>
      <c r="E13">
        <f>IF(I5=TRUE,10,IF(I5=FALSE,0))</f>
        <v>0</v>
      </c>
      <c r="F13">
        <f>IF(L5=TRUE,10,IF(L5=FALSE,0))</f>
        <v>10</v>
      </c>
      <c r="G13">
        <f>IF(N5=TRUE,10,IF(N5=FALSE,0))</f>
        <v>10</v>
      </c>
      <c r="H13">
        <f>IF(P5=TRUE,10,IF(P5=FALSE,0))</f>
        <v>0</v>
      </c>
      <c r="J13">
        <f>IF(S5=TRUE,10,IF(S5=FALSE,0))</f>
        <v>0</v>
      </c>
    </row>
    <row r="14" spans="1:20" x14ac:dyDescent="0.2">
      <c r="A14">
        <f>IF(A6=TRUE,5,IF(A6=FALSE,0))</f>
        <v>0</v>
      </c>
      <c r="B14">
        <f>IF(C6=TRUE,10,IF(C6=FALSE,0))</f>
        <v>0</v>
      </c>
      <c r="C14">
        <f>IF(E6=TRUE,15,IF(E6=FALSE,0))</f>
        <v>0</v>
      </c>
      <c r="D14">
        <f>IF(G6=TRUE,15,IF(G6=FALSE,0))</f>
        <v>0</v>
      </c>
      <c r="E14">
        <f>IF(I6=TRUE,5,IF(I6=FALSE,0))</f>
        <v>0</v>
      </c>
      <c r="F14">
        <f>IF(L6=TRUE,5,IF(L6=FALSE,0))</f>
        <v>0</v>
      </c>
      <c r="G14">
        <f>IF(N6=TRUE,5,IF(N6=FALSE,0))</f>
        <v>0</v>
      </c>
      <c r="H14">
        <f>IF(P6=TRUE,5,IF(P6=FALSE,0))</f>
        <v>0</v>
      </c>
    </row>
    <row r="15" spans="1:20" x14ac:dyDescent="0.2">
      <c r="A15">
        <f>IF(A7=TRUE,0,IF(A7=FALSE,0))</f>
        <v>0</v>
      </c>
      <c r="B15">
        <f>IF(C7=TRUE,0,IF(C7=FALSE,0))</f>
        <v>0</v>
      </c>
      <c r="C15">
        <f>IF(E7=TRUE,0,IF(E7=FALSE,0))</f>
        <v>0</v>
      </c>
      <c r="D15">
        <f>IF(G7=TRUE,0,IF(G7=FALSE,0))</f>
        <v>0</v>
      </c>
      <c r="E15">
        <f>IF(I7=TRUE,0,IF(I7=FALSE,0))</f>
        <v>0</v>
      </c>
      <c r="F15">
        <f>IF(L7=TRUE,0,IF(L7=FALSE,0))</f>
        <v>0</v>
      </c>
      <c r="G15">
        <f>IF(N7=TRUE,0,IF(N7=FALSE,0))</f>
        <v>0</v>
      </c>
      <c r="H15">
        <f>IF(P7=TRUE,0,IF(P7=FALSE,0))</f>
        <v>0</v>
      </c>
    </row>
    <row r="16" spans="1:20" x14ac:dyDescent="0.2">
      <c r="A16">
        <f>SUM(A13:A15)</f>
        <v>0</v>
      </c>
      <c r="B16">
        <f t="shared" ref="B16:J16" si="0">SUM(B13:B15)</f>
        <v>0</v>
      </c>
      <c r="C16">
        <f t="shared" si="0"/>
        <v>0</v>
      </c>
      <c r="D16">
        <f t="shared" si="0"/>
        <v>0</v>
      </c>
      <c r="E16">
        <f t="shared" si="0"/>
        <v>0</v>
      </c>
      <c r="F16">
        <f t="shared" si="0"/>
        <v>10</v>
      </c>
      <c r="G16">
        <f t="shared" si="0"/>
        <v>10</v>
      </c>
      <c r="H16">
        <f t="shared" si="0"/>
        <v>0</v>
      </c>
      <c r="J16">
        <f t="shared" si="0"/>
        <v>0</v>
      </c>
    </row>
    <row r="19" spans="3:4" x14ac:dyDescent="0.2">
      <c r="C19" t="s">
        <v>52</v>
      </c>
      <c r="D19">
        <f>Beginn</f>
        <v>0</v>
      </c>
    </row>
    <row r="20" spans="3:4" x14ac:dyDescent="0.2">
      <c r="C20" t="s">
        <v>53</v>
      </c>
      <c r="D20">
        <f>Ende</f>
        <v>0</v>
      </c>
    </row>
    <row r="21" spans="3:4" x14ac:dyDescent="0.2">
      <c r="D21">
        <f>DATEDIF(Beginn,Ende,"M")+1</f>
        <v>1</v>
      </c>
    </row>
    <row r="24" spans="3:4" x14ac:dyDescent="0.2">
      <c r="D24" t="s">
        <v>140</v>
      </c>
    </row>
    <row r="25" spans="3:4" x14ac:dyDescent="0.2">
      <c r="D25" t="s">
        <v>610</v>
      </c>
    </row>
    <row r="28" spans="3:4" x14ac:dyDescent="0.2">
      <c r="D28" s="6" t="s">
        <v>144</v>
      </c>
    </row>
    <row r="29" spans="3:4" x14ac:dyDescent="0.2">
      <c r="D29" s="6" t="s">
        <v>135</v>
      </c>
    </row>
    <row r="30" spans="3:4" x14ac:dyDescent="0.2">
      <c r="D30" s="6" t="s">
        <v>136</v>
      </c>
    </row>
    <row r="31" spans="3:4" x14ac:dyDescent="0.2">
      <c r="D31" s="128" t="s">
        <v>837</v>
      </c>
    </row>
    <row r="32" spans="3:4" x14ac:dyDescent="0.2">
      <c r="D32" s="6" t="s">
        <v>611</v>
      </c>
    </row>
    <row r="36" spans="4:4" x14ac:dyDescent="0.2">
      <c r="D36" s="6" t="s">
        <v>645</v>
      </c>
    </row>
    <row r="37" spans="4:4" x14ac:dyDescent="0.2">
      <c r="D37" s="6" t="s">
        <v>646</v>
      </c>
    </row>
    <row r="38" spans="4:4" x14ac:dyDescent="0.2">
      <c r="D38" s="6" t="s">
        <v>647</v>
      </c>
    </row>
    <row r="39" spans="4:4" x14ac:dyDescent="0.2">
      <c r="D39" s="6" t="s">
        <v>648</v>
      </c>
    </row>
    <row r="40" spans="4:4" x14ac:dyDescent="0.2">
      <c r="D40" s="6" t="s">
        <v>649</v>
      </c>
    </row>
  </sheetData>
  <phoneticPr fontId="2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BZ22"/>
  <sheetViews>
    <sheetView topLeftCell="AC1" workbookViewId="0">
      <selection activeCell="AM13" sqref="AM13"/>
    </sheetView>
  </sheetViews>
  <sheetFormatPr baseColWidth="10" defaultRowHeight="12.75" x14ac:dyDescent="0.2"/>
  <cols>
    <col min="1" max="1" width="7.42578125" style="157" customWidth="1"/>
    <col min="2" max="2" width="14.28515625" customWidth="1"/>
    <col min="3" max="3" width="10.140625" customWidth="1"/>
    <col min="4" max="4" width="7.28515625" customWidth="1"/>
    <col min="5" max="5" width="6.7109375" customWidth="1"/>
    <col min="6" max="6" width="8.28515625" customWidth="1"/>
    <col min="7" max="7" width="9" customWidth="1"/>
    <col min="8" max="9" width="15.85546875" customWidth="1"/>
    <col min="10" max="12" width="19.85546875" customWidth="1"/>
    <col min="13" max="13" width="11.42578125" style="55" customWidth="1"/>
    <col min="14" max="16" width="12.7109375" style="55" customWidth="1"/>
    <col min="17" max="17" width="14.28515625" customWidth="1"/>
    <col min="18" max="18" width="8" customWidth="1"/>
    <col min="19" max="19" width="15.28515625" customWidth="1"/>
    <col min="20" max="21" width="9.140625" customWidth="1"/>
    <col min="22" max="22" width="12" customWidth="1"/>
    <col min="23" max="23" width="12.5703125" customWidth="1"/>
    <col min="24" max="25" width="8" customWidth="1"/>
    <col min="26" max="31" width="17" customWidth="1"/>
    <col min="32" max="32" width="6" customWidth="1"/>
    <col min="33" max="33" width="18.140625" customWidth="1"/>
    <col min="34" max="34" width="10.28515625" customWidth="1"/>
    <col min="35" max="37" width="6.42578125" customWidth="1"/>
    <col min="38" max="38" width="7.85546875" customWidth="1"/>
    <col min="39" max="39" width="14.42578125" customWidth="1"/>
    <col min="41" max="73" width="11.42578125" style="98" customWidth="1"/>
  </cols>
  <sheetData>
    <row r="1" spans="1:78" x14ac:dyDescent="0.2">
      <c r="B1" t="s">
        <v>529</v>
      </c>
      <c r="C1" s="127" t="s">
        <v>673</v>
      </c>
      <c r="J1" t="s">
        <v>250</v>
      </c>
      <c r="K1" s="127" t="s">
        <v>842</v>
      </c>
      <c r="L1" t="s">
        <v>252</v>
      </c>
      <c r="M1" s="55" t="s">
        <v>52</v>
      </c>
      <c r="N1" s="55" t="s">
        <v>53</v>
      </c>
      <c r="O1" s="165" t="s">
        <v>517</v>
      </c>
      <c r="P1" s="165" t="s">
        <v>764</v>
      </c>
      <c r="Q1" t="s">
        <v>253</v>
      </c>
      <c r="R1" t="s">
        <v>254</v>
      </c>
      <c r="S1" t="s">
        <v>255</v>
      </c>
      <c r="T1" t="s">
        <v>256</v>
      </c>
      <c r="U1" s="127" t="s">
        <v>744</v>
      </c>
      <c r="V1" s="127" t="s">
        <v>236</v>
      </c>
      <c r="W1" s="127" t="s">
        <v>237</v>
      </c>
      <c r="X1" t="s">
        <v>245</v>
      </c>
      <c r="Y1" t="s">
        <v>257</v>
      </c>
      <c r="Z1" t="s">
        <v>316</v>
      </c>
      <c r="AA1" t="s">
        <v>736</v>
      </c>
      <c r="AB1" t="s">
        <v>739</v>
      </c>
      <c r="AC1" t="s">
        <v>289</v>
      </c>
      <c r="AD1" t="s">
        <v>389</v>
      </c>
      <c r="AE1" t="s">
        <v>287</v>
      </c>
      <c r="AF1" t="s">
        <v>568</v>
      </c>
      <c r="AG1" t="s">
        <v>207</v>
      </c>
      <c r="AH1" t="s">
        <v>333</v>
      </c>
      <c r="AI1" t="s">
        <v>334</v>
      </c>
      <c r="AJ1" t="s">
        <v>258</v>
      </c>
      <c r="AK1" t="s">
        <v>259</v>
      </c>
      <c r="AL1" s="127" t="s">
        <v>832</v>
      </c>
      <c r="AM1" t="s">
        <v>352</v>
      </c>
      <c r="AN1" t="s">
        <v>342</v>
      </c>
      <c r="AO1" s="98" t="s">
        <v>343</v>
      </c>
      <c r="AP1" s="98" t="s">
        <v>344</v>
      </c>
      <c r="AQ1" s="142" t="s">
        <v>804</v>
      </c>
      <c r="AR1" s="142" t="s">
        <v>907</v>
      </c>
      <c r="AS1" s="142" t="s">
        <v>805</v>
      </c>
      <c r="AT1" s="98" t="s">
        <v>701</v>
      </c>
      <c r="AU1" s="98" t="s">
        <v>503</v>
      </c>
      <c r="AV1" s="98" t="s">
        <v>505</v>
      </c>
      <c r="AW1" s="98" t="s">
        <v>698</v>
      </c>
      <c r="AX1" s="98" t="s">
        <v>699</v>
      </c>
      <c r="AY1" s="98" t="s">
        <v>700</v>
      </c>
      <c r="AZ1" s="98" t="s">
        <v>9</v>
      </c>
      <c r="BA1" s="98" t="s">
        <v>4</v>
      </c>
      <c r="BB1" s="98" t="s">
        <v>6</v>
      </c>
      <c r="BC1" s="98" t="s">
        <v>408</v>
      </c>
      <c r="BD1" s="98" t="s">
        <v>223</v>
      </c>
      <c r="BE1" s="98" t="s">
        <v>224</v>
      </c>
      <c r="BF1" s="98" t="s">
        <v>523</v>
      </c>
      <c r="BG1" s="98" t="s">
        <v>30</v>
      </c>
      <c r="BH1" s="98" t="s">
        <v>32</v>
      </c>
      <c r="BI1" s="98" t="s">
        <v>423</v>
      </c>
      <c r="BJ1" s="98" t="s">
        <v>707</v>
      </c>
      <c r="BK1" s="98" t="s">
        <v>708</v>
      </c>
      <c r="BL1" s="98" t="s">
        <v>704</v>
      </c>
      <c r="BM1" s="98" t="s">
        <v>705</v>
      </c>
      <c r="BN1" s="98" t="s">
        <v>16</v>
      </c>
      <c r="BO1" s="98" t="s">
        <v>416</v>
      </c>
      <c r="BP1" s="98" t="s">
        <v>411</v>
      </c>
      <c r="BQ1" s="98" t="s">
        <v>413</v>
      </c>
      <c r="BR1" s="98" t="s">
        <v>515</v>
      </c>
      <c r="BS1" s="98" t="s">
        <v>510</v>
      </c>
      <c r="BT1" s="98" t="s">
        <v>512</v>
      </c>
      <c r="BU1" s="98" t="s">
        <v>348</v>
      </c>
      <c r="BW1" s="142"/>
      <c r="BX1" s="98"/>
      <c r="BY1" s="98"/>
      <c r="BZ1" s="98"/>
    </row>
    <row r="2" spans="1:78" s="4" customFormat="1" ht="60" customHeight="1" x14ac:dyDescent="0.2">
      <c r="A2" s="43" t="s">
        <v>354</v>
      </c>
      <c r="B2" s="48" t="s">
        <v>160</v>
      </c>
      <c r="C2" s="48" t="s">
        <v>672</v>
      </c>
      <c r="D2" s="45" t="s">
        <v>666</v>
      </c>
      <c r="E2" s="45" t="s">
        <v>665</v>
      </c>
      <c r="F2" s="45" t="s">
        <v>664</v>
      </c>
      <c r="G2" s="45" t="s">
        <v>663</v>
      </c>
      <c r="H2" s="48" t="s">
        <v>691</v>
      </c>
      <c r="I2" s="48" t="s">
        <v>780</v>
      </c>
      <c r="J2" s="40" t="s">
        <v>86</v>
      </c>
      <c r="K2" s="40" t="s">
        <v>205</v>
      </c>
      <c r="L2" s="40" t="s">
        <v>162</v>
      </c>
      <c r="M2" s="94" t="s">
        <v>52</v>
      </c>
      <c r="N2" s="94" t="s">
        <v>53</v>
      </c>
      <c r="O2" s="94" t="s">
        <v>743</v>
      </c>
      <c r="P2" s="94" t="s">
        <v>763</v>
      </c>
      <c r="Q2" s="40" t="s">
        <v>90</v>
      </c>
      <c r="R2" s="43" t="s">
        <v>39</v>
      </c>
      <c r="S2" s="44" t="s">
        <v>40</v>
      </c>
      <c r="T2" s="44" t="s">
        <v>48</v>
      </c>
      <c r="U2" s="44" t="s">
        <v>162</v>
      </c>
      <c r="V2" s="44" t="s">
        <v>46</v>
      </c>
      <c r="W2" s="44" t="s">
        <v>95</v>
      </c>
      <c r="X2" s="44" t="s">
        <v>49</v>
      </c>
      <c r="Y2" s="39" t="s">
        <v>41</v>
      </c>
      <c r="Z2" s="40" t="s">
        <v>50</v>
      </c>
      <c r="AA2" s="40" t="s">
        <v>48</v>
      </c>
      <c r="AB2" s="40" t="s">
        <v>737</v>
      </c>
      <c r="AC2" s="40" t="s">
        <v>738</v>
      </c>
      <c r="AD2" s="40" t="s">
        <v>49</v>
      </c>
      <c r="AE2" s="40" t="s">
        <v>50</v>
      </c>
      <c r="AF2" s="45" t="s">
        <v>836</v>
      </c>
      <c r="AG2" s="45" t="s">
        <v>74</v>
      </c>
      <c r="AH2" s="45" t="s">
        <v>612</v>
      </c>
      <c r="AI2" s="46" t="s">
        <v>71</v>
      </c>
      <c r="AJ2" s="24" t="s">
        <v>73</v>
      </c>
      <c r="AK2" s="24" t="s">
        <v>72</v>
      </c>
      <c r="AL2" s="24" t="s">
        <v>834</v>
      </c>
      <c r="AM2" s="45" t="s">
        <v>47</v>
      </c>
      <c r="AN2" s="40" t="s">
        <v>149</v>
      </c>
      <c r="AO2" s="136">
        <v>2025</v>
      </c>
      <c r="AP2" s="136">
        <v>2026</v>
      </c>
      <c r="AQ2" s="24" t="s">
        <v>803</v>
      </c>
      <c r="AR2" s="136">
        <v>2025</v>
      </c>
      <c r="AS2" s="136">
        <v>2026</v>
      </c>
      <c r="AT2" s="136" t="s">
        <v>752</v>
      </c>
      <c r="AU2" s="136">
        <v>2025</v>
      </c>
      <c r="AV2" s="136">
        <v>2026</v>
      </c>
      <c r="AW2" s="136" t="s">
        <v>702</v>
      </c>
      <c r="AX2" s="136">
        <v>2025</v>
      </c>
      <c r="AY2" s="136">
        <v>2026</v>
      </c>
      <c r="AZ2" s="136" t="s">
        <v>703</v>
      </c>
      <c r="BA2" s="136">
        <v>2025</v>
      </c>
      <c r="BB2" s="136">
        <v>2026</v>
      </c>
      <c r="BC2" s="136" t="s">
        <v>759</v>
      </c>
      <c r="BD2" s="136">
        <v>2025</v>
      </c>
      <c r="BE2" s="136">
        <v>2026</v>
      </c>
      <c r="BF2" s="136" t="s">
        <v>758</v>
      </c>
      <c r="BG2" s="136">
        <v>2025</v>
      </c>
      <c r="BH2" s="136">
        <v>2026</v>
      </c>
      <c r="BI2" s="136" t="s">
        <v>756</v>
      </c>
      <c r="BJ2" s="136">
        <v>2025</v>
      </c>
      <c r="BK2" s="136">
        <v>2026</v>
      </c>
      <c r="BL2" s="136" t="s">
        <v>757</v>
      </c>
      <c r="BM2" s="136">
        <v>2025</v>
      </c>
      <c r="BN2" s="136">
        <v>2026</v>
      </c>
      <c r="BO2" s="136" t="s">
        <v>760</v>
      </c>
      <c r="BP2" s="136">
        <v>2025</v>
      </c>
      <c r="BQ2" s="136">
        <v>2026</v>
      </c>
      <c r="BR2" s="136" t="s">
        <v>706</v>
      </c>
      <c r="BS2" s="136">
        <v>2025</v>
      </c>
      <c r="BT2" s="136">
        <v>2026</v>
      </c>
      <c r="BU2" s="99" t="s">
        <v>176</v>
      </c>
      <c r="BV2" s="40" t="s">
        <v>784</v>
      </c>
      <c r="BW2" s="142"/>
      <c r="BX2" s="98"/>
      <c r="BY2" s="98"/>
      <c r="BZ2" s="98"/>
    </row>
    <row r="3" spans="1:78" s="3" customFormat="1" ht="54" customHeight="1" x14ac:dyDescent="0.2">
      <c r="A3" s="158">
        <f>LfdNum</f>
        <v>0</v>
      </c>
      <c r="B3" s="170">
        <f>Eingangdat</f>
        <v>0</v>
      </c>
      <c r="C3" s="170"/>
      <c r="G3" s="127"/>
      <c r="H3" s="139"/>
      <c r="I3" s="139"/>
      <c r="J3" s="20">
        <f ca="1">INDIRECT(J$1)</f>
        <v>0</v>
      </c>
      <c r="K3" s="138">
        <f ca="1">INDIRECT(K$1)</f>
        <v>0</v>
      </c>
      <c r="L3" s="20">
        <f t="shared" ref="L3:AE3" ca="1" si="0">INDIRECT(L$1)</f>
        <v>0</v>
      </c>
      <c r="M3" s="95">
        <f t="shared" ca="1" si="0"/>
        <v>0</v>
      </c>
      <c r="N3" s="95">
        <f t="shared" ca="1" si="0"/>
        <v>0</v>
      </c>
      <c r="O3" s="20" t="str">
        <f t="shared" ca="1" si="0"/>
        <v>ed</v>
      </c>
      <c r="P3" s="20">
        <f t="shared" ca="1" si="0"/>
        <v>0</v>
      </c>
      <c r="Q3" s="20">
        <f t="shared" ca="1" si="0"/>
        <v>0</v>
      </c>
      <c r="R3" s="20">
        <f t="shared" ca="1" si="0"/>
        <v>0</v>
      </c>
      <c r="S3" s="20">
        <f t="shared" ca="1" si="0"/>
        <v>0</v>
      </c>
      <c r="T3" s="20">
        <f t="shared" ca="1" si="0"/>
        <v>0</v>
      </c>
      <c r="U3" s="20">
        <f t="shared" ca="1" si="0"/>
        <v>0</v>
      </c>
      <c r="V3" s="20">
        <f t="shared" ca="1" si="0"/>
        <v>0</v>
      </c>
      <c r="W3" s="20">
        <f t="shared" ca="1" si="0"/>
        <v>0</v>
      </c>
      <c r="X3" s="20">
        <f t="shared" ca="1" si="0"/>
        <v>0</v>
      </c>
      <c r="Y3" s="20">
        <f t="shared" ca="1" si="0"/>
        <v>0</v>
      </c>
      <c r="Z3" s="20">
        <f t="shared" ca="1" si="0"/>
        <v>0</v>
      </c>
      <c r="AA3" s="20">
        <f t="shared" ca="1" si="0"/>
        <v>0</v>
      </c>
      <c r="AB3" s="20">
        <f t="shared" ca="1" si="0"/>
        <v>0</v>
      </c>
      <c r="AC3" s="20">
        <f t="shared" ca="1" si="0"/>
        <v>0</v>
      </c>
      <c r="AD3" s="20">
        <f t="shared" ca="1" si="0"/>
        <v>0</v>
      </c>
      <c r="AE3" s="20">
        <f t="shared" ca="1" si="0"/>
        <v>0</v>
      </c>
      <c r="AF3" s="162">
        <f t="shared" ref="AF3:AL3" ca="1" si="1">INDIRECT(AF$1)</f>
        <v>0</v>
      </c>
      <c r="AG3" s="20" t="str">
        <f t="shared" ca="1" si="1"/>
        <v>Bitte auswählen</v>
      </c>
      <c r="AH3" s="162">
        <f t="shared" ca="1" si="1"/>
        <v>0</v>
      </c>
      <c r="AI3" s="163">
        <f t="shared" ca="1" si="1"/>
        <v>0</v>
      </c>
      <c r="AJ3" s="163">
        <f t="shared" ca="1" si="1"/>
        <v>0</v>
      </c>
      <c r="AK3" s="163">
        <f t="shared" ca="1" si="1"/>
        <v>0</v>
      </c>
      <c r="AL3" s="163">
        <f t="shared" ca="1" si="1"/>
        <v>0</v>
      </c>
      <c r="AM3" s="309" t="s">
        <v>650</v>
      </c>
      <c r="AN3" s="161">
        <f t="shared" ref="AN3:BN3" ca="1" si="2">INDIRECT(AN$1)</f>
        <v>0</v>
      </c>
      <c r="AO3" s="161">
        <f t="shared" ca="1" si="2"/>
        <v>0</v>
      </c>
      <c r="AP3" s="161">
        <f t="shared" ca="1" si="2"/>
        <v>0</v>
      </c>
      <c r="AQ3" s="161">
        <f t="shared" ca="1" si="2"/>
        <v>0</v>
      </c>
      <c r="AR3" s="161">
        <f t="shared" ca="1" si="2"/>
        <v>0</v>
      </c>
      <c r="AS3" s="161">
        <f t="shared" ca="1" si="2"/>
        <v>0</v>
      </c>
      <c r="AT3" s="161">
        <f t="shared" ref="AT3:AY3" ca="1" si="3">INDIRECT(AT$1)</f>
        <v>0</v>
      </c>
      <c r="AU3" s="161">
        <f t="shared" ca="1" si="3"/>
        <v>0</v>
      </c>
      <c r="AV3" s="161">
        <f t="shared" ca="1" si="3"/>
        <v>0</v>
      </c>
      <c r="AW3" s="161">
        <f t="shared" ca="1" si="3"/>
        <v>0</v>
      </c>
      <c r="AX3" s="161">
        <f t="shared" ca="1" si="3"/>
        <v>0</v>
      </c>
      <c r="AY3" s="161">
        <f t="shared" ca="1" si="3"/>
        <v>0</v>
      </c>
      <c r="AZ3" s="161">
        <f t="shared" ca="1" si="2"/>
        <v>0</v>
      </c>
      <c r="BA3" s="161">
        <f t="shared" ca="1" si="2"/>
        <v>0</v>
      </c>
      <c r="BB3" s="161">
        <f t="shared" ca="1" si="2"/>
        <v>0</v>
      </c>
      <c r="BC3" s="161">
        <f t="shared" ca="1" si="2"/>
        <v>0</v>
      </c>
      <c r="BD3" s="161">
        <f t="shared" ca="1" si="2"/>
        <v>0</v>
      </c>
      <c r="BE3" s="161">
        <f t="shared" ca="1" si="2"/>
        <v>0</v>
      </c>
      <c r="BF3" s="161">
        <f t="shared" ref="BF3:BK3" ca="1" si="4">INDIRECT(BF$1)</f>
        <v>0</v>
      </c>
      <c r="BG3" s="161">
        <f t="shared" ca="1" si="4"/>
        <v>0</v>
      </c>
      <c r="BH3" s="161">
        <f t="shared" ca="1" si="4"/>
        <v>0</v>
      </c>
      <c r="BI3" s="161">
        <f t="shared" ca="1" si="4"/>
        <v>0</v>
      </c>
      <c r="BJ3" s="161">
        <f t="shared" ca="1" si="4"/>
        <v>0</v>
      </c>
      <c r="BK3" s="161">
        <f t="shared" ca="1" si="4"/>
        <v>0</v>
      </c>
      <c r="BL3" s="161">
        <f t="shared" ca="1" si="2"/>
        <v>0</v>
      </c>
      <c r="BM3" s="161">
        <f t="shared" ca="1" si="2"/>
        <v>0</v>
      </c>
      <c r="BN3" s="161">
        <f t="shared" ca="1" si="2"/>
        <v>0</v>
      </c>
      <c r="BO3" s="161">
        <f t="shared" ref="BO3:BU3" ca="1" si="5">INDIRECT(BO$1)</f>
        <v>0</v>
      </c>
      <c r="BP3" s="161">
        <f t="shared" ca="1" si="5"/>
        <v>0</v>
      </c>
      <c r="BQ3" s="161">
        <f t="shared" ca="1" si="5"/>
        <v>0</v>
      </c>
      <c r="BR3" s="161">
        <f ca="1">INDIRECT(BR$1)</f>
        <v>0</v>
      </c>
      <c r="BS3" s="161">
        <f ca="1">INDIRECT(BS$1)</f>
        <v>0</v>
      </c>
      <c r="BT3" s="161">
        <f ca="1">INDIRECT(BT$1)</f>
        <v>0</v>
      </c>
      <c r="BU3" s="161">
        <f t="shared" ca="1" si="5"/>
        <v>0</v>
      </c>
      <c r="BV3" s="161"/>
      <c r="BW3" s="161"/>
      <c r="BX3" s="161"/>
      <c r="BY3" s="161"/>
      <c r="BZ3" s="161"/>
    </row>
    <row r="4" spans="1:78" s="3" customFormat="1" x14ac:dyDescent="0.2">
      <c r="A4" s="159"/>
      <c r="J4" s="20"/>
      <c r="K4" s="20"/>
      <c r="L4" s="20"/>
      <c r="M4" s="96"/>
      <c r="N4" s="96"/>
      <c r="O4" s="96"/>
      <c r="P4" s="96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</row>
    <row r="5" spans="1:78" x14ac:dyDescent="0.2">
      <c r="L5" s="20"/>
    </row>
    <row r="6" spans="1:78" s="1" customFormat="1" ht="15" x14ac:dyDescent="0.2">
      <c r="A6" s="160"/>
      <c r="M6" s="97"/>
      <c r="N6" s="97"/>
      <c r="O6" s="97"/>
      <c r="P6" s="97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</row>
    <row r="8" spans="1:78" x14ac:dyDescent="0.2">
      <c r="K8" s="123"/>
    </row>
    <row r="9" spans="1:78" x14ac:dyDescent="0.2">
      <c r="K9" s="123"/>
    </row>
    <row r="10" spans="1:78" x14ac:dyDescent="0.2">
      <c r="K10" s="123"/>
    </row>
    <row r="11" spans="1:78" x14ac:dyDescent="0.2">
      <c r="K11" s="123"/>
    </row>
    <row r="12" spans="1:78" x14ac:dyDescent="0.2">
      <c r="K12" s="123"/>
    </row>
    <row r="13" spans="1:78" x14ac:dyDescent="0.2">
      <c r="K13" s="123"/>
    </row>
    <row r="14" spans="1:78" x14ac:dyDescent="0.2">
      <c r="K14" s="123"/>
    </row>
    <row r="15" spans="1:78" x14ac:dyDescent="0.2">
      <c r="K15" s="123"/>
    </row>
    <row r="16" spans="1:78" x14ac:dyDescent="0.2">
      <c r="K16" s="123"/>
    </row>
    <row r="17" spans="11:11" x14ac:dyDescent="0.2">
      <c r="K17" s="123"/>
    </row>
    <row r="18" spans="11:11" x14ac:dyDescent="0.2">
      <c r="K18" s="123"/>
    </row>
    <row r="19" spans="11:11" x14ac:dyDescent="0.2">
      <c r="K19" s="123"/>
    </row>
    <row r="20" spans="11:11" x14ac:dyDescent="0.2">
      <c r="K20" s="123"/>
    </row>
    <row r="21" spans="11:11" x14ac:dyDescent="0.2">
      <c r="K21" s="123"/>
    </row>
    <row r="22" spans="11:11" x14ac:dyDescent="0.2">
      <c r="K22" s="123"/>
    </row>
  </sheetData>
  <customSheetViews>
    <customSheetView guid="{EEA7A97B-E2BF-43AD-B211-D284BEE221A1}" showRuler="0" topLeftCell="M1">
      <selection activeCell="Z1" sqref="Z1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04F5F062-CD85-4BE7-B897-A8C5C601EF7B}" showRuler="0">
      <selection activeCell="BG3" sqref="BG3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HilfstabelleDatenbank!$A$3:$A$5</xm:f>
          </x14:formula1>
          <xm:sqref>AM3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H71"/>
  <sheetViews>
    <sheetView workbookViewId="0">
      <selection activeCell="D4" sqref="D4"/>
    </sheetView>
  </sheetViews>
  <sheetFormatPr baseColWidth="10" defaultRowHeight="12.75" x14ac:dyDescent="0.2"/>
  <cols>
    <col min="1" max="1" width="41.140625" style="2" customWidth="1"/>
    <col min="2" max="2" width="15.5703125" style="29" customWidth="1"/>
    <col min="3" max="3" width="31.5703125" style="2" customWidth="1"/>
    <col min="4" max="4" width="7" customWidth="1"/>
    <col min="5" max="5" width="31" customWidth="1"/>
    <col min="6" max="6" width="16.140625" customWidth="1"/>
    <col min="7" max="7" width="28.85546875" customWidth="1"/>
    <col min="8" max="8" width="8.42578125" customWidth="1"/>
  </cols>
  <sheetData>
    <row r="1" spans="1:8" ht="28.5" thickBot="1" x14ac:dyDescent="0.45">
      <c r="A1" s="803" t="s">
        <v>587</v>
      </c>
      <c r="B1" s="803"/>
      <c r="C1" s="803"/>
      <c r="D1" s="803"/>
      <c r="E1" s="110"/>
      <c r="F1" s="110"/>
      <c r="G1" s="110"/>
      <c r="H1" s="110"/>
    </row>
    <row r="2" spans="1:8" s="4" customFormat="1" ht="20.25" x14ac:dyDescent="0.3">
      <c r="A2" s="111" t="s">
        <v>212</v>
      </c>
      <c r="B2" s="112"/>
      <c r="C2" s="111" t="s">
        <v>214</v>
      </c>
      <c r="D2" s="109"/>
    </row>
    <row r="3" spans="1:8" x14ac:dyDescent="0.2">
      <c r="A3" s="104" t="s">
        <v>809</v>
      </c>
      <c r="B3" s="105"/>
      <c r="C3" s="104" t="s">
        <v>213</v>
      </c>
      <c r="D3" s="107"/>
    </row>
    <row r="4" spans="1:8" x14ac:dyDescent="0.2">
      <c r="A4" s="141" t="s">
        <v>810</v>
      </c>
      <c r="B4" s="118" t="str">
        <f>IF(LEN(Tname)&gt;0,"ok","fehlt")</f>
        <v>fehlt</v>
      </c>
      <c r="C4" s="106" t="s">
        <v>169</v>
      </c>
      <c r="D4" s="118" t="str">
        <f>IF(LEN(Ptitel)&gt;0,"ok","fehlt")</f>
        <v>fehlt</v>
      </c>
    </row>
    <row r="5" spans="1:8" x14ac:dyDescent="0.2">
      <c r="A5" s="106" t="s">
        <v>90</v>
      </c>
      <c r="B5" s="118" t="str">
        <f>IF(LEN(Tstraße)&gt;0,"ok","fehlt")</f>
        <v>fehlt</v>
      </c>
      <c r="C5" s="106" t="s">
        <v>52</v>
      </c>
      <c r="D5" s="118" t="str">
        <f>IF(Ende&gt;1,"ok","fehlt")</f>
        <v>fehlt</v>
      </c>
    </row>
    <row r="6" spans="1:8" x14ac:dyDescent="0.2">
      <c r="A6" s="106" t="s">
        <v>39</v>
      </c>
      <c r="B6" s="118" t="str">
        <f>IF(LEN(Tplz)&gt;0,"ok","fehlt")</f>
        <v>fehlt</v>
      </c>
      <c r="C6" s="106" t="s">
        <v>53</v>
      </c>
      <c r="D6" s="118" t="str">
        <f>IF(Beginn&gt;1,"ok","fehlt")</f>
        <v>fehlt</v>
      </c>
    </row>
    <row r="7" spans="1:8" x14ac:dyDescent="0.2">
      <c r="A7" s="106" t="s">
        <v>40</v>
      </c>
      <c r="B7" s="118" t="str">
        <f>IF(LEN(Tort)&gt;0,"ok","fehlt")</f>
        <v>fehlt</v>
      </c>
      <c r="C7" s="104" t="s">
        <v>43</v>
      </c>
      <c r="D7" s="118"/>
    </row>
    <row r="8" spans="1:8" x14ac:dyDescent="0.2">
      <c r="A8" s="106" t="s">
        <v>49</v>
      </c>
      <c r="B8" s="118" t="str">
        <f>IF(LEN(Ttel)&gt;0,"ok","fehlt")</f>
        <v>fehlt</v>
      </c>
      <c r="C8" s="106" t="s">
        <v>524</v>
      </c>
      <c r="D8" s="118" t="str">
        <f>IF(edwdAuswahl&gt;0,"ok","fehlt")</f>
        <v>ok</v>
      </c>
    </row>
    <row r="9" spans="1:8" ht="17.25" customHeight="1" x14ac:dyDescent="0.2">
      <c r="A9" s="106" t="s">
        <v>50</v>
      </c>
      <c r="B9" s="118" t="str">
        <f>IF(LEN(Temail)&gt;0,"ok","fehlt")</f>
        <v>fehlt</v>
      </c>
      <c r="C9" s="104" t="s">
        <v>109</v>
      </c>
      <c r="D9" s="118" t="str">
        <f ca="1">IF(GEK="Bitte auswählen","fehlt","ok")</f>
        <v>fehlt</v>
      </c>
    </row>
    <row r="10" spans="1:8" ht="17.25" customHeight="1" x14ac:dyDescent="0.2">
      <c r="A10" s="141" t="s">
        <v>844</v>
      </c>
      <c r="B10" s="118" t="str" cm="1">
        <f t="array" ref="B10">IF(Chartaauswahl=TRUE,"ok","fehlt")</f>
        <v>fehlt</v>
      </c>
      <c r="C10" s="104"/>
      <c r="D10" s="118"/>
    </row>
    <row r="11" spans="1:8" x14ac:dyDescent="0.2">
      <c r="A11" s="106"/>
      <c r="B11" s="121"/>
      <c r="C11" s="106" t="s">
        <v>271</v>
      </c>
      <c r="D11" s="118" t="str">
        <f>IF(GKAuswahl&gt;1,"ok","fehlt")</f>
        <v>fehlt</v>
      </c>
    </row>
    <row r="12" spans="1:8" ht="25.5" x14ac:dyDescent="0.2">
      <c r="A12" s="104" t="s">
        <v>209</v>
      </c>
      <c r="B12" s="118"/>
      <c r="C12" s="104" t="s">
        <v>813</v>
      </c>
      <c r="D12" s="118"/>
    </row>
    <row r="13" spans="1:8" x14ac:dyDescent="0.2">
      <c r="A13" s="106" t="s">
        <v>48</v>
      </c>
      <c r="B13" s="118" t="str">
        <f>IF(LEN(Ltganrede)&gt;0,"ok","fehlt")</f>
        <v>fehlt</v>
      </c>
      <c r="C13" s="106"/>
      <c r="D13" s="118"/>
    </row>
    <row r="14" spans="1:8" x14ac:dyDescent="0.2">
      <c r="A14" s="106" t="s">
        <v>46</v>
      </c>
      <c r="B14" s="118" t="str">
        <f>IF(LEN(ltgname)&gt;0,"ok","fehlt")</f>
        <v>fehlt</v>
      </c>
      <c r="C14" s="141" t="s">
        <v>814</v>
      </c>
      <c r="D14" s="118" t="str">
        <f ca="1">IF(LEFT(Aktion,5)="Bitte","fehlt","ok")</f>
        <v>fehlt</v>
      </c>
    </row>
    <row r="15" spans="1:8" x14ac:dyDescent="0.2">
      <c r="A15" s="106" t="s">
        <v>95</v>
      </c>
      <c r="B15" s="118" t="str">
        <f>IF(LEN(ltgvorname)&gt;0,"ok","fehlt")</f>
        <v>fehlt</v>
      </c>
      <c r="C15" s="141" t="s">
        <v>742</v>
      </c>
      <c r="D15" s="118" t="str">
        <f ca="1">IF(LEFT(Fansatz,5)="Bitte","fehlt","ok")</f>
        <v>fehlt</v>
      </c>
    </row>
    <row r="16" spans="1:8" x14ac:dyDescent="0.2">
      <c r="A16" s="104" t="s">
        <v>345</v>
      </c>
      <c r="B16" s="118"/>
      <c r="C16" s="106"/>
      <c r="D16" s="118"/>
    </row>
    <row r="17" spans="1:4" x14ac:dyDescent="0.2">
      <c r="A17" s="108" t="s">
        <v>48</v>
      </c>
      <c r="B17" s="118" t="str">
        <f>IF(LEN(Anspranrede)&gt;0,"ok","fehlt")</f>
        <v>fehlt</v>
      </c>
      <c r="C17" s="106" t="s">
        <v>47</v>
      </c>
      <c r="D17" s="118" t="str">
        <f>IF(ZGauswahl&gt;1,"ok","fehlt")</f>
        <v>fehlt</v>
      </c>
    </row>
    <row r="18" spans="1:4" x14ac:dyDescent="0.2">
      <c r="A18" s="108" t="s">
        <v>46</v>
      </c>
      <c r="B18" s="118" t="str">
        <f>IF(LEN(Ansprname)&gt;0,"ok","fehlt")</f>
        <v>fehlt</v>
      </c>
      <c r="C18" s="104" t="s">
        <v>138</v>
      </c>
      <c r="D18" s="118"/>
    </row>
    <row r="19" spans="1:4" x14ac:dyDescent="0.2">
      <c r="A19" s="108" t="s">
        <v>95</v>
      </c>
      <c r="B19" s="118" t="str">
        <f>IF(LEN(ansprvorname)&gt;0,"ok","fehlt")</f>
        <v>fehlt</v>
      </c>
      <c r="C19" s="106" t="s">
        <v>347</v>
      </c>
      <c r="D19" s="118" t="str">
        <f>IF(LEN(TNpl)&gt;0,"ok","fehlt")</f>
        <v>fehlt</v>
      </c>
    </row>
    <row r="20" spans="1:4" x14ac:dyDescent="0.2">
      <c r="A20" s="108" t="s">
        <v>197</v>
      </c>
      <c r="B20" s="118" t="str">
        <f>IF(LEN(ansprtel)&gt;0,"ok","fehlt")</f>
        <v>fehlt</v>
      </c>
      <c r="C20" s="106" t="s">
        <v>346</v>
      </c>
      <c r="D20" s="118" t="str">
        <f>IF(LEN(TNanz)&gt;0,"ok","fehlt")</f>
        <v>fehlt</v>
      </c>
    </row>
    <row r="21" spans="1:4" x14ac:dyDescent="0.2">
      <c r="A21" s="108" t="s">
        <v>50</v>
      </c>
      <c r="B21" s="118" t="str">
        <f>IF(LEN(ansprmail)&gt;0,"ok","fehlt")</f>
        <v>fehlt</v>
      </c>
      <c r="C21" s="106" t="s">
        <v>45</v>
      </c>
      <c r="D21" s="118" t="str">
        <f>IF(LEN(TNwbl)&gt;0,"ok","fehlt")</f>
        <v>fehlt</v>
      </c>
    </row>
    <row r="22" spans="1:4" x14ac:dyDescent="0.2">
      <c r="A22" s="104" t="s">
        <v>210</v>
      </c>
      <c r="B22" s="118"/>
      <c r="C22" s="106" t="s">
        <v>44</v>
      </c>
      <c r="D22" s="118" t="str">
        <f>IF(LEN(TNml)&gt;0,"ok","fehlt")</f>
        <v>fehlt</v>
      </c>
    </row>
    <row r="23" spans="1:4" x14ac:dyDescent="0.2">
      <c r="A23" s="108" t="s">
        <v>271</v>
      </c>
      <c r="B23" s="118" t="str">
        <f>IF(Akauswahl&gt;0,"ok","fehlt")</f>
        <v>ok</v>
      </c>
      <c r="C23" s="141" t="s">
        <v>833</v>
      </c>
      <c r="D23" s="118" t="str">
        <f>IF(LEN(TNnichtbinär)&gt;0,"ok","fehlt")</f>
        <v>fehlt</v>
      </c>
    </row>
    <row r="24" spans="1:4" x14ac:dyDescent="0.2">
      <c r="A24" s="153" t="s">
        <v>844</v>
      </c>
      <c r="B24" s="118" t="str">
        <f>IF(Chartaauswahl=TRUE,"ok","fehlt")</f>
        <v>fehlt</v>
      </c>
      <c r="C24" s="153"/>
      <c r="D24" s="118"/>
    </row>
    <row r="25" spans="1:4" ht="20.25" x14ac:dyDescent="0.3">
      <c r="A25" s="172" t="s">
        <v>215</v>
      </c>
      <c r="B25" s="173"/>
      <c r="D25" s="118"/>
    </row>
    <row r="26" spans="1:4" x14ac:dyDescent="0.2">
      <c r="A26" s="171" t="s">
        <v>96</v>
      </c>
      <c r="B26" s="174"/>
      <c r="D26" s="164"/>
    </row>
    <row r="27" spans="1:4" x14ac:dyDescent="0.2">
      <c r="A27" s="114" t="s">
        <v>76</v>
      </c>
      <c r="B27" s="174" t="str">
        <f>IF(kostges&gt;0,"ok","fehlt")</f>
        <v>fehlt</v>
      </c>
      <c r="D27" s="164"/>
    </row>
    <row r="28" spans="1:4" ht="13.5" thickBot="1" x14ac:dyDescent="0.25">
      <c r="A28" s="175" t="s">
        <v>815</v>
      </c>
      <c r="B28" s="174" t="str">
        <f>IF(esfges&gt;0,"ok","fehlt")</f>
        <v>fehlt</v>
      </c>
      <c r="C28" s="124"/>
      <c r="D28" s="118"/>
    </row>
    <row r="29" spans="1:4" ht="20.25" x14ac:dyDescent="0.3">
      <c r="A29" s="171" t="s">
        <v>527</v>
      </c>
      <c r="B29" s="174"/>
      <c r="C29" s="125" t="s">
        <v>216</v>
      </c>
      <c r="D29" s="113"/>
    </row>
    <row r="30" spans="1:4" x14ac:dyDescent="0.2">
      <c r="A30" s="114" t="s">
        <v>583</v>
      </c>
      <c r="B30" s="174" t="e">
        <f>IF('Anmeldeformular2025-1'!#REF!=0,"nicht erforderlich",IF(LEN('Anmeldeformular2025-1'!#REF!)=0,"fehlt","ok"))</f>
        <v>#REF!</v>
      </c>
      <c r="C30" s="40" t="s">
        <v>217</v>
      </c>
      <c r="D30" s="105"/>
    </row>
    <row r="31" spans="1:4" ht="18.75" customHeight="1" x14ac:dyDescent="0.2">
      <c r="A31" s="114" t="s">
        <v>584</v>
      </c>
      <c r="B31" s="174" t="e">
        <f>IF('Anmeldeformular2025-1'!#REF!=0,"nicht erforderlich",IF(LEN('Anmeldeformular2025-1'!#REF!)=0,"fehlt","ok"))</f>
        <v>#REF!</v>
      </c>
      <c r="C31" s="153" t="s">
        <v>723</v>
      </c>
      <c r="D31" s="119" t="str">
        <f>IF(LEN(Bedarf)&gt;0,"ok","fehlt")</f>
        <v>fehlt</v>
      </c>
    </row>
    <row r="32" spans="1:4" ht="17.25" customHeight="1" x14ac:dyDescent="0.2">
      <c r="A32" s="114" t="s">
        <v>585</v>
      </c>
      <c r="B32" s="174" t="e">
        <f>IF('Anmeldeformular2025-1'!#REF!=0,"nicht erforderlich",IF(LEN('Anmeldeformular2025-1'!#REF!)=0,"fehlt","ok"))</f>
        <v>#REF!</v>
      </c>
      <c r="C32" s="153" t="s">
        <v>730</v>
      </c>
      <c r="D32" s="119" t="str">
        <f>IF(LEN(zielvorg)&gt;0,"ok","fehlt")</f>
        <v>fehlt</v>
      </c>
    </row>
    <row r="33" spans="1:7" ht="25.5" x14ac:dyDescent="0.2">
      <c r="A33" s="175" t="s">
        <v>920</v>
      </c>
      <c r="B33" s="174" t="str">
        <f>IF('Anmeldeformular2025-1'!M59=0,"nicht erforderlich",IF(LEN('Anmeldeformular2025-1'!#REF!)=0,"fehlt","ok"))</f>
        <v>nicht erforderlich</v>
      </c>
      <c r="C33" s="153" t="s">
        <v>731</v>
      </c>
      <c r="D33" s="119" t="str">
        <f>IF(LEN(Pstruktur)&gt;0,"ok","fehlt")</f>
        <v>fehlt</v>
      </c>
    </row>
    <row r="34" spans="1:7" ht="25.5" x14ac:dyDescent="0.2">
      <c r="A34" s="175" t="s">
        <v>921</v>
      </c>
      <c r="B34" s="174" t="str">
        <f>IF('Anmeldeformular2025-1'!M59=0,"nicht erforderlich",IF(LEN('Anmeldeformular2025-1'!#REF!)=0,"fehlt","ok"))</f>
        <v>nicht erforderlich</v>
      </c>
      <c r="C34" s="153" t="s">
        <v>732</v>
      </c>
      <c r="D34" s="119" t="str">
        <f>IF(LEN(Indikatorik)&gt;0,"ok","fehlt")</f>
        <v>fehlt</v>
      </c>
    </row>
    <row r="35" spans="1:7" x14ac:dyDescent="0.2">
      <c r="A35" s="175" t="s">
        <v>922</v>
      </c>
      <c r="B35" s="174" t="str">
        <f>IF('Anmeldeformular2025-1'!M59=0,"nicht erforderlich",IF(LEN('Anmeldeformular2025-1'!#REF!)=0,"fehlt","ok"))</f>
        <v>nicht erforderlich</v>
      </c>
      <c r="C35" s="153" t="s">
        <v>182</v>
      </c>
      <c r="D35" s="119" t="str">
        <f>IF(LEN(Koop)&gt;0,"ok","fehlt")</f>
        <v>fehlt</v>
      </c>
    </row>
    <row r="36" spans="1:7" x14ac:dyDescent="0.2">
      <c r="A36" s="175" t="s">
        <v>822</v>
      </c>
      <c r="B36" s="174" t="e">
        <f>IF('Anmeldeformular2025-1'!#REF!=0,"nicht erforderlich",IF(LEN('Anmeldeformular2025-1'!#REF!)=0,"fehlt","ok"))</f>
        <v>#REF!</v>
      </c>
      <c r="C36" s="153"/>
      <c r="D36" s="119"/>
    </row>
    <row r="37" spans="1:7" ht="17.25" customHeight="1" x14ac:dyDescent="0.2">
      <c r="A37" s="175" t="s">
        <v>821</v>
      </c>
      <c r="B37" s="174" t="e">
        <f>IF('Anmeldeformular2025-1'!#REF!=0,"nicht erforderlich",IF(LEN('Anmeldeformular2025-1'!#REF!)=0,"fehlt","ok"))</f>
        <v>#REF!</v>
      </c>
      <c r="D37" s="119"/>
    </row>
    <row r="38" spans="1:7" x14ac:dyDescent="0.2">
      <c r="A38" s="175" t="s">
        <v>823</v>
      </c>
      <c r="B38" s="174" t="e">
        <f>IF('Anmeldeformular2025-1'!#REF!=0,"nicht erforderlich",IF(LEN('Anmeldeformular2025-1'!#REF!)=0,"fehlt","ok"))</f>
        <v>#REF!</v>
      </c>
      <c r="D38" s="119"/>
    </row>
    <row r="39" spans="1:7" ht="25.5" x14ac:dyDescent="0.2">
      <c r="A39" s="175" t="s">
        <v>797</v>
      </c>
      <c r="B39" s="174" t="e">
        <f>IF('Anmeldeformular2025-1'!#REF!=0,"nicht erforderlich",IF(LEN('Anmeldeformular2025-1'!#REF!)=0,"fehlt","ok"))</f>
        <v>#REF!</v>
      </c>
      <c r="C39" s="40" t="s">
        <v>859</v>
      </c>
      <c r="D39" s="119"/>
    </row>
    <row r="40" spans="1:7" x14ac:dyDescent="0.2">
      <c r="A40" s="175" t="s">
        <v>798</v>
      </c>
      <c r="B40" s="174" t="e">
        <f>IF('Anmeldeformular2025-1'!#REF!=0,"nicht erforderlich",IF(LEN('Anmeldeformular2025-1'!#REF!)=0,"fehlt","ok"))</f>
        <v>#REF!</v>
      </c>
      <c r="C40" s="153" t="s">
        <v>864</v>
      </c>
      <c r="D40" s="119" t="str">
        <f>IF(Gleichstellungauswahl&gt;0,"ok","fehlt")</f>
        <v>fehlt</v>
      </c>
    </row>
    <row r="41" spans="1:7" x14ac:dyDescent="0.2">
      <c r="A41" s="175" t="s">
        <v>799</v>
      </c>
      <c r="B41" s="174" t="e">
        <f>IF('Anmeldeformular2025-1'!#REF!=0,"nicht erforderlich",IF(LEN('Anmeldeformular2025-1'!#REF!)=0,"fehlt","ok"))</f>
        <v>#REF!</v>
      </c>
      <c r="C41" s="2" t="s">
        <v>865</v>
      </c>
      <c r="D41" s="119" t="str" cm="1">
        <f t="array" ref="D41">IF(Nichtdiskriminierungauswahl&gt;0,"ok","fehlt")</f>
        <v>ok</v>
      </c>
    </row>
    <row r="42" spans="1:7" x14ac:dyDescent="0.2">
      <c r="A42" s="175" t="s">
        <v>794</v>
      </c>
      <c r="B42" s="174" t="e">
        <f>IF('Anmeldeformular2025-1'!#REF!=0,"nicht erforderlich",IF(LEN('Anmeldeformular2025-1'!#REF!)=0,"fehlt","ok"))</f>
        <v>#REF!</v>
      </c>
      <c r="C42" s="2" t="s">
        <v>860</v>
      </c>
      <c r="D42" s="119" t="str">
        <f>IF(Transnationalauswahl&gt;0,"ok","fehlt")</f>
        <v>fehlt</v>
      </c>
    </row>
    <row r="43" spans="1:7" x14ac:dyDescent="0.2">
      <c r="A43" s="175" t="s">
        <v>795</v>
      </c>
      <c r="B43" s="174" t="e">
        <f>IF('Anmeldeformular2025-1'!#REF!=0,"nicht erforderlich",IF(LEN('Anmeldeformular2025-1'!#REF!)=0,"fehlt","ok"))</f>
        <v>#REF!</v>
      </c>
      <c r="C43" s="153" t="s">
        <v>870</v>
      </c>
      <c r="D43" s="119" t="str">
        <f>IF(Nachhaltigkeitauswahl&gt;0,"ok","fehlt")</f>
        <v>fehlt</v>
      </c>
    </row>
    <row r="44" spans="1:7" x14ac:dyDescent="0.2">
      <c r="A44" s="175" t="s">
        <v>796</v>
      </c>
      <c r="B44" s="174" t="e">
        <f>IF('Anmeldeformular2025-1'!#REF!=0,"nicht erforderlich",IF(LEN('Anmeldeformular2025-1'!#REF!)=0,"fehlt","ok"))</f>
        <v>#REF!</v>
      </c>
      <c r="D44" s="119"/>
    </row>
    <row r="45" spans="1:7" x14ac:dyDescent="0.2">
      <c r="A45" s="175" t="s">
        <v>824</v>
      </c>
      <c r="B45" s="174" t="e">
        <f>IF('Anmeldeformular2025-1'!#REF!=0,"nicht erforderlich",IF(LEN('Anmeldeformular2025-1'!#REF!)=0,"fehlt","ok"))</f>
        <v>#REF!</v>
      </c>
      <c r="C45" s="2" t="s">
        <v>525</v>
      </c>
      <c r="D45" s="119" t="e">
        <f>IF(LEN(Quersch)&gt;0,"ok","fehlt")</f>
        <v>#REF!</v>
      </c>
    </row>
    <row r="46" spans="1:7" x14ac:dyDescent="0.2">
      <c r="A46" s="175" t="s">
        <v>825</v>
      </c>
      <c r="B46" s="174" t="e">
        <f>IF('Anmeldeformular2025-1'!#REF!=0,"nicht erforderlich",IF(LEN('Anmeldeformular2025-1'!#REF!)=0,"fehlt","ok"))</f>
        <v>#REF!</v>
      </c>
      <c r="C46" s="153" t="s">
        <v>872</v>
      </c>
      <c r="D46" s="119" t="str">
        <f>IF(Entschuldung&gt;0,"ok","fehlt")</f>
        <v>fehlt</v>
      </c>
    </row>
    <row r="47" spans="1:7" ht="13.5" thickBot="1" x14ac:dyDescent="0.25">
      <c r="A47" s="175" t="s">
        <v>826</v>
      </c>
      <c r="B47" s="174" t="e">
        <f>IF('Anmeldeformular2025-1'!#REF!=0,"nicht erforderlich",IF(LEN('Anmeldeformular2025-1'!#REF!)=0,"fehlt","ok"))</f>
        <v>#REF!</v>
      </c>
      <c r="C47" s="124" t="s">
        <v>526</v>
      </c>
      <c r="D47" s="120" t="str">
        <f>IF(EuropaIch&gt;0,"ok","fehlt")</f>
        <v>fehlt</v>
      </c>
      <c r="G47" s="2"/>
    </row>
    <row r="48" spans="1:7" x14ac:dyDescent="0.2">
      <c r="A48" s="153" t="s">
        <v>753</v>
      </c>
      <c r="B48" s="174" t="e">
        <f>IF('Anmeldeformular2025-1'!#REF!=0,"nicht erforderlich",IF(LEN('Anmeldeformular2025-1'!#REF!)=0,"fehlt","ok"))</f>
        <v>#REF!</v>
      </c>
      <c r="D48" s="119"/>
    </row>
    <row r="49" spans="1:4" x14ac:dyDescent="0.2">
      <c r="A49" s="153" t="s">
        <v>766</v>
      </c>
      <c r="B49" s="174" t="e">
        <f>IF('Anmeldeformular2025-1'!#REF!=0,"nicht erforderlich",IF(LEN('Anmeldeformular2025-1'!#REF!)=0,"fehlt","ok"))</f>
        <v>#REF!</v>
      </c>
      <c r="D49" s="119"/>
    </row>
    <row r="50" spans="1:4" ht="13.5" thickBot="1" x14ac:dyDescent="0.25">
      <c r="A50" s="153" t="s">
        <v>767</v>
      </c>
      <c r="B50" s="174" t="e">
        <f>IF('Anmeldeformular2025-1'!#REF!=0,"nicht erforderlich",IF(LEN('Anmeldeformular2025-1'!#REF!)=0,"fehlt","ok"))</f>
        <v>#REF!</v>
      </c>
      <c r="C50" s="124"/>
      <c r="D50" s="120"/>
    </row>
    <row r="51" spans="1:4" x14ac:dyDescent="0.2">
      <c r="A51" s="153" t="s">
        <v>791</v>
      </c>
      <c r="B51" s="174" t="e">
        <f>IF('Anmeldeformular2025-1'!#REF!=0,"nicht erforderlich",IF(LEN('Anmeldeformular2025-1'!#REF!)=0,"fehlt","ok"))</f>
        <v>#REF!</v>
      </c>
      <c r="D51" s="126"/>
    </row>
    <row r="52" spans="1:4" x14ac:dyDescent="0.2">
      <c r="A52" s="153" t="s">
        <v>792</v>
      </c>
      <c r="B52" s="174" t="e">
        <f>IF('Anmeldeformular2025-1'!#REF!=0,"nicht erforderlich",IF(LEN('Anmeldeformular2025-1'!#REF!)=0,"fehlt","ok"))</f>
        <v>#REF!</v>
      </c>
      <c r="D52" s="126"/>
    </row>
    <row r="53" spans="1:4" x14ac:dyDescent="0.2">
      <c r="A53" s="153" t="s">
        <v>793</v>
      </c>
      <c r="B53" s="174" t="e">
        <f>IF('Anmeldeformular2025-1'!#REF!=0,"nicht erforderlich",IF(LEN('Anmeldeformular2025-1'!#REF!)=0,"fehlt","ok"))</f>
        <v>#REF!</v>
      </c>
      <c r="D53" s="126"/>
    </row>
    <row r="54" spans="1:4" x14ac:dyDescent="0.2">
      <c r="A54" s="175" t="s">
        <v>721</v>
      </c>
      <c r="B54" s="174" t="e">
        <f>IF('Anmeldeformular2025-1'!#REF!=0,"nicht erforderlich",IF(LEN('Anmeldeformular2025-1'!#REF!)=0,"fehlt","ok"))</f>
        <v>#REF!</v>
      </c>
      <c r="D54" s="126"/>
    </row>
    <row r="55" spans="1:4" x14ac:dyDescent="0.2">
      <c r="A55" s="175" t="s">
        <v>768</v>
      </c>
      <c r="B55" s="174" t="e">
        <f>IF('Anmeldeformular2025-1'!#REF!=0,"nicht erforderlich",IF(LEN('Anmeldeformular2025-1'!#REF!)=0,"fehlt","ok"))</f>
        <v>#REF!</v>
      </c>
      <c r="D55" s="126"/>
    </row>
    <row r="56" spans="1:4" x14ac:dyDescent="0.2">
      <c r="A56" s="175" t="s">
        <v>770</v>
      </c>
      <c r="B56" s="174" t="e">
        <f>IF('Anmeldeformular2025-1'!#REF!=0,"nicht erforderlich",IF(LEN('Anmeldeformular2025-1'!#REF!)=0,"fehlt","ok"))</f>
        <v>#REF!</v>
      </c>
      <c r="D56" s="126"/>
    </row>
    <row r="57" spans="1:4" x14ac:dyDescent="0.2">
      <c r="A57" s="175" t="s">
        <v>720</v>
      </c>
      <c r="B57" s="174" t="str">
        <f>IF('Anmeldeformular2025-1'!M60=0,"nicht erforderlich",IF(LEN('Anmeldeformular2025-1'!#REF!)=0,"fehlt","ok"))</f>
        <v>nicht erforderlich</v>
      </c>
      <c r="D57" s="126"/>
    </row>
    <row r="58" spans="1:4" x14ac:dyDescent="0.2">
      <c r="A58" s="175" t="s">
        <v>769</v>
      </c>
      <c r="B58" s="174" t="str">
        <f>IF('Anmeldeformular2025-1'!M60=0,"nicht erforderlich",IF(LEN('Anmeldeformular2025-1'!#REF!)=0,"fehlt","ok"))</f>
        <v>nicht erforderlich</v>
      </c>
      <c r="D58" s="126"/>
    </row>
    <row r="59" spans="1:4" x14ac:dyDescent="0.2">
      <c r="A59" s="175" t="s">
        <v>773</v>
      </c>
      <c r="B59" s="174" t="str">
        <f>IF('Anmeldeformular2025-1'!M60=0,"nicht erforderlich",IF(LEN('Anmeldeformular2025-1'!#REF!)=0,"fehlt","ok"))</f>
        <v>nicht erforderlich</v>
      </c>
      <c r="D59" s="126"/>
    </row>
    <row r="60" spans="1:4" x14ac:dyDescent="0.2">
      <c r="A60" s="175" t="s">
        <v>754</v>
      </c>
      <c r="B60" s="174" t="str">
        <f>IF('Anmeldeformular2025-1'!M61=0,"nicht erforderlich",IF(LEN('Anmeldeformular2025-1'!#REF!)=0,"fehlt","ok"))</f>
        <v>nicht erforderlich</v>
      </c>
    </row>
    <row r="61" spans="1:4" x14ac:dyDescent="0.2">
      <c r="A61" s="175" t="s">
        <v>771</v>
      </c>
      <c r="B61" s="174" t="str">
        <f>IF('Anmeldeformular2025-1'!M61=0,"nicht erforderlich",IF(LEN('Anmeldeformular2025-1'!#REF!)=0,"fehlt","ok"))</f>
        <v>nicht erforderlich</v>
      </c>
      <c r="C61" s="805">
        <f>Tname</f>
        <v>0</v>
      </c>
      <c r="D61" s="805"/>
    </row>
    <row r="62" spans="1:4" x14ac:dyDescent="0.2">
      <c r="A62" s="175" t="s">
        <v>774</v>
      </c>
      <c r="B62" s="174" t="str">
        <f>IF('Anmeldeformular2025-1'!M61=0,"nicht erforderlich",IF(LEN('Anmeldeformular2025-1'!#REF!)=0,"fehlt","ok"))</f>
        <v>nicht erforderlich</v>
      </c>
      <c r="C62" s="804">
        <f>Ptitel</f>
        <v>0</v>
      </c>
      <c r="D62" s="804"/>
    </row>
    <row r="63" spans="1:4" x14ac:dyDescent="0.2">
      <c r="A63" s="175" t="s">
        <v>722</v>
      </c>
      <c r="B63" s="174" t="str">
        <f>IF('Anmeldeformular2025-1'!M62=0,"nicht erforderlich",IF(LEN('Anmeldeformular2025-1'!#REF!)=0,"fehlt","ok"))</f>
        <v>nicht erforderlich</v>
      </c>
      <c r="C63" s="804"/>
      <c r="D63" s="804"/>
    </row>
    <row r="64" spans="1:4" x14ac:dyDescent="0.2">
      <c r="A64" s="175" t="s">
        <v>772</v>
      </c>
      <c r="B64" s="174" t="str">
        <f>IF('Anmeldeformular2025-1'!M62=0,"nicht erforderlich",IF(LEN('Anmeldeformular2025-1'!#REF!)=0,"fehlt","ok"))</f>
        <v>nicht erforderlich</v>
      </c>
    </row>
    <row r="65" spans="1:4" x14ac:dyDescent="0.2">
      <c r="A65" s="175" t="s">
        <v>775</v>
      </c>
      <c r="B65" s="174" t="str">
        <f>IF('Anmeldeformular2025-1'!M62=0,"nicht erforderlich",IF(LEN('Anmeldeformular2025-1'!#REF!)=0,"fehlt","ok"))</f>
        <v>nicht erforderlich</v>
      </c>
      <c r="C65" s="805"/>
      <c r="D65" s="805"/>
    </row>
    <row r="66" spans="1:4" x14ac:dyDescent="0.2">
      <c r="A66" s="175" t="s">
        <v>755</v>
      </c>
      <c r="B66" s="174" t="str">
        <f>IF('Anmeldeformular2025-1'!M64=0,"nicht erforderlich",IF(LEN('Anmeldeformular2025-1'!H86)=0,"fehlt","ok"))</f>
        <v>nicht erforderlich</v>
      </c>
    </row>
    <row r="67" spans="1:4" ht="14.45" customHeight="1" x14ac:dyDescent="0.2">
      <c r="A67" s="175" t="s">
        <v>777</v>
      </c>
      <c r="B67" s="174" t="str">
        <f>IF('Anmeldeformular2025-1'!M64=0,"nicht erforderlich",IF(LEN('Anmeldeformular2025-1'!Q86)=0,"fehlt","ok"))</f>
        <v>nicht erforderlich</v>
      </c>
      <c r="C67" s="633"/>
    </row>
    <row r="68" spans="1:4" x14ac:dyDescent="0.2">
      <c r="A68" s="176" t="s">
        <v>778</v>
      </c>
      <c r="B68" s="174" t="str">
        <f>IF('Anmeldeformular2025-1'!M64=0,"nicht erforderlich",IF(LEN('Anmeldeformular2025-1'!Y86)=0,"fehlt","ok"))</f>
        <v>nicht erforderlich</v>
      </c>
      <c r="C68" s="633"/>
    </row>
    <row r="69" spans="1:4" x14ac:dyDescent="0.2">
      <c r="A69" s="114" t="s">
        <v>586</v>
      </c>
      <c r="B69" s="174" t="str">
        <f>IF('Anmeldeformular2025-1'!M68=0,"nicht erforderlich",IF(LEN('Anmeldeformular2025-1'!H94)=0,"fehlt","ok"))</f>
        <v>nicht erforderlich</v>
      </c>
    </row>
    <row r="70" spans="1:4" x14ac:dyDescent="0.2">
      <c r="A70" s="114" t="s">
        <v>776</v>
      </c>
      <c r="B70" s="174" t="str">
        <f>IF('Anmeldeformular2025-1'!M68=0,"nicht erforderlich",IF(LEN('Anmeldeformular2025-1'!Q94)=0,"fehlt","ok"))</f>
        <v>nicht erforderlich</v>
      </c>
    </row>
    <row r="71" spans="1:4" x14ac:dyDescent="0.2">
      <c r="A71" s="177" t="s">
        <v>779</v>
      </c>
      <c r="B71" s="178" t="str">
        <f>IF('Anmeldeformular2025-1'!M68=0,"nicht erforderlich",IF(LEN('Anmeldeformular2025-1'!Y94)=0,"fehlt","ok"))</f>
        <v>nicht erforderlich</v>
      </c>
    </row>
  </sheetData>
  <sheetProtection selectLockedCells="1" selectUnlockedCells="1"/>
  <customSheetViews>
    <customSheetView guid="{EEA7A97B-E2BF-43AD-B211-D284BEE221A1}" showRuler="0">
      <selection activeCell="B7" sqref="B7"/>
      <pageMargins left="0.78740157499999996" right="0.78740157499999996" top="0.984251969" bottom="0.984251969" header="0.4921259845" footer="0.4921259845"/>
      <headerFooter alignWithMargins="0"/>
    </customSheetView>
    <customSheetView guid="{04F5F062-CD85-4BE7-B897-A8C5C601EF7B}" showRuler="0">
      <selection activeCell="B7" sqref="B7"/>
      <pageMargins left="0.78740157499999996" right="0.78740157499999996" top="0.984251969" bottom="0.984251969" header="0.4921259845" footer="0.4921259845"/>
      <headerFooter alignWithMargins="0"/>
    </customSheetView>
  </customSheetViews>
  <mergeCells count="5">
    <mergeCell ref="A1:D1"/>
    <mergeCell ref="C67:C68"/>
    <mergeCell ref="C62:D63"/>
    <mergeCell ref="C61:D61"/>
    <mergeCell ref="C65:D65"/>
  </mergeCells>
  <phoneticPr fontId="20" type="noConversion"/>
  <conditionalFormatting sqref="B4:B10 B13:B21 B23:B24 B26:B71">
    <cfRule type="cellIs" dxfId="3" priority="6" stopIfTrue="1" operator="equal">
      <formula>"fehlt"</formula>
    </cfRule>
  </conditionalFormatting>
  <conditionalFormatting sqref="D2:D3 B12 B22">
    <cfRule type="cellIs" dxfId="2" priority="4" stopIfTrue="1" operator="equal">
      <formula>"ok"</formula>
    </cfRule>
  </conditionalFormatting>
  <conditionalFormatting sqref="D4:D28 D31:D38">
    <cfRule type="cellIs" dxfId="1" priority="5" stopIfTrue="1" operator="equal">
      <formula>"fehlt"</formula>
    </cfRule>
  </conditionalFormatting>
  <conditionalFormatting sqref="D40:D59">
    <cfRule type="cellIs" dxfId="0" priority="1" stopIfTrue="1" operator="equal">
      <formula>"fehlt"</formula>
    </cfRule>
  </conditionalFormatting>
  <printOptions gridLines="1"/>
  <pageMargins left="0.19685039370078741" right="0.19685039370078741" top="0.17" bottom="0.19685039370078741" header="0.31496062992125984" footer="0.118110236220472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D7"/>
  <sheetViews>
    <sheetView workbookViewId="0">
      <selection activeCell="D7" sqref="D7"/>
    </sheetView>
  </sheetViews>
  <sheetFormatPr baseColWidth="10" defaultRowHeight="12.75" x14ac:dyDescent="0.2"/>
  <cols>
    <col min="1" max="1" width="27.85546875" customWidth="1"/>
  </cols>
  <sheetData>
    <row r="1" spans="1:4" x14ac:dyDescent="0.2">
      <c r="A1" s="127" t="s">
        <v>47</v>
      </c>
    </row>
    <row r="2" spans="1:4" x14ac:dyDescent="0.2">
      <c r="A2" s="127" t="s">
        <v>927</v>
      </c>
    </row>
    <row r="3" spans="1:4" x14ac:dyDescent="0.2">
      <c r="A3" s="127" t="s">
        <v>928</v>
      </c>
    </row>
    <row r="4" spans="1:4" x14ac:dyDescent="0.2">
      <c r="A4" s="127" t="s">
        <v>929</v>
      </c>
    </row>
    <row r="5" spans="1:4" x14ac:dyDescent="0.2">
      <c r="A5" s="127" t="s">
        <v>930</v>
      </c>
    </row>
    <row r="7" spans="1:4" x14ac:dyDescent="0.2">
      <c r="A7" s="127" t="s">
        <v>282</v>
      </c>
      <c r="B7" s="127" t="s">
        <v>331</v>
      </c>
      <c r="C7">
        <v>1</v>
      </c>
      <c r="D7" s="127" t="str">
        <f>IF(Akauswahl=3,"ja",IF(Akauswahl=4,"nein"," "))</f>
        <v xml:space="preserve"> 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F38"/>
  <sheetViews>
    <sheetView workbookViewId="0">
      <selection activeCell="C10" sqref="C10"/>
    </sheetView>
  </sheetViews>
  <sheetFormatPr baseColWidth="10" defaultRowHeight="12.75" x14ac:dyDescent="0.2"/>
  <cols>
    <col min="1" max="1" width="24.5703125" customWidth="1"/>
    <col min="2" max="2" width="13.7109375" customWidth="1"/>
    <col min="4" max="4" width="38.5703125" style="2" customWidth="1"/>
    <col min="5" max="5" width="10.85546875" customWidth="1"/>
  </cols>
  <sheetData>
    <row r="1" spans="1:6" s="4" customFormat="1" x14ac:dyDescent="0.2">
      <c r="B1" s="4" t="s">
        <v>270</v>
      </c>
      <c r="C1" s="4" t="s">
        <v>271</v>
      </c>
      <c r="D1" s="40" t="s">
        <v>272</v>
      </c>
    </row>
    <row r="2" spans="1:6" x14ac:dyDescent="0.2">
      <c r="A2" t="s">
        <v>246</v>
      </c>
      <c r="B2" t="s">
        <v>331</v>
      </c>
      <c r="C2">
        <v>3</v>
      </c>
      <c r="D2" s="133" t="str">
        <f>IF(Akauswahl=1,"ja",IF(Akauswahl=2,"nein", " "))</f>
        <v xml:space="preserve"> </v>
      </c>
    </row>
    <row r="3" spans="1:6" x14ac:dyDescent="0.2">
      <c r="A3" t="s">
        <v>247</v>
      </c>
      <c r="B3" s="127" t="s">
        <v>331</v>
      </c>
      <c r="C3">
        <v>1</v>
      </c>
      <c r="D3" s="133" t="str">
        <f>IF(edwdAuswahl=1, "ed", IF(edwdAuswahl=2,"wd", " "))</f>
        <v>ed</v>
      </c>
    </row>
    <row r="4" spans="1:6" x14ac:dyDescent="0.2">
      <c r="A4" t="s">
        <v>355</v>
      </c>
      <c r="B4" t="s">
        <v>331</v>
      </c>
      <c r="C4">
        <v>3</v>
      </c>
      <c r="D4" s="133" t="str">
        <f>IF(TNrlpauswahl=1, "ja",IF(TNrlpauswahl=2,"nein", " "))</f>
        <v xml:space="preserve"> </v>
      </c>
    </row>
    <row r="5" spans="1:6" x14ac:dyDescent="0.2">
      <c r="A5" t="s">
        <v>273</v>
      </c>
      <c r="B5" t="s">
        <v>332</v>
      </c>
      <c r="C5">
        <v>1</v>
      </c>
      <c r="D5" s="133" t="str">
        <f ca="1">INDEX(INDIRECT($A5),$C5,1)</f>
        <v>Bitte auswählen</v>
      </c>
      <c r="E5" s="29">
        <f ca="1">INDEX(INDIRECT($A5),$C5,2)</f>
        <v>0</v>
      </c>
    </row>
    <row r="6" spans="1:6" x14ac:dyDescent="0.2">
      <c r="A6" t="s">
        <v>274</v>
      </c>
      <c r="B6" t="s">
        <v>332</v>
      </c>
      <c r="C6">
        <v>2</v>
      </c>
      <c r="D6" s="2">
        <f ca="1">INDEX(INDIRECT(A6),C6)</f>
        <v>0</v>
      </c>
      <c r="E6" t="str">
        <f>IF(Pachseauswahl=2,"A",IF(Pachseauswahl=3,"B",IF(Pachseauswahl=4,"C"," ")))</f>
        <v>A</v>
      </c>
    </row>
    <row r="7" spans="1:6" x14ac:dyDescent="0.2">
      <c r="A7" t="s">
        <v>275</v>
      </c>
      <c r="B7" t="s">
        <v>332</v>
      </c>
      <c r="C7">
        <v>4</v>
      </c>
      <c r="D7" s="2" t="str">
        <f ca="1">INDEX(INDIRECT(A7),C7)</f>
        <v>Bitte auswählen</v>
      </c>
    </row>
    <row r="8" spans="1:6" x14ac:dyDescent="0.2">
      <c r="A8" t="s">
        <v>330</v>
      </c>
      <c r="B8" t="s">
        <v>332</v>
      </c>
      <c r="C8">
        <v>1</v>
      </c>
      <c r="D8" s="2" t="str">
        <f ca="1">INDEX(INDIRECT(A8),C8)</f>
        <v>Bitte auswählen</v>
      </c>
      <c r="E8">
        <f>IF(ISERROR(MATCH("Auswahl"&amp;Pachseauswahl&amp;Aktionauswahl,FAnsatzAuswahlen,0)),1,MATCH("Auswahl"&amp;Pachseauswahl&amp;Aktionauswahl,FAnsatzAuswahlen,0)-1)</f>
        <v>4</v>
      </c>
    </row>
    <row r="9" spans="1:6" x14ac:dyDescent="0.2">
      <c r="A9" t="s">
        <v>276</v>
      </c>
      <c r="B9" t="s">
        <v>332</v>
      </c>
      <c r="C9">
        <v>1</v>
      </c>
      <c r="D9" s="2" t="str">
        <f ca="1">INDEX(INDIRECT(A9),C9)</f>
        <v>Bitte erst Prioritätsachse auswählen</v>
      </c>
      <c r="E9" t="str">
        <f ca="1">IF(Plstg="Qualifizierung","Quali",IF(Plstg="Beratung","Berat",IF(Plstg="Qualifizierung Altenpflege","Pfl",IF(Plstg="niedrigschwellige Qualifizierung","NQ"," "))))</f>
        <v xml:space="preserve"> </v>
      </c>
      <c r="F9">
        <f>IF(ISERROR(MATCH("Auswahl"&amp;Pachseauswahl&amp;Aktionauswahl&amp;Foeauswahl,Plstgauswahlen,0)),1,MATCH("Auswahl"&amp;Pachseauswahl&amp;Aktionauswahl&amp;Foeauswahl,Plstgauswahlen,0)-1)</f>
        <v>1</v>
      </c>
    </row>
    <row r="10" spans="1:6" x14ac:dyDescent="0.2">
      <c r="A10" t="s">
        <v>277</v>
      </c>
      <c r="B10" t="s">
        <v>332</v>
      </c>
      <c r="C10">
        <v>1</v>
      </c>
      <c r="D10" s="2" t="str">
        <f ca="1">INDEX(INDIRECT(A10),C10)</f>
        <v>Bitte auswählen</v>
      </c>
    </row>
    <row r="11" spans="1:6" x14ac:dyDescent="0.2">
      <c r="A11" s="127" t="s">
        <v>845</v>
      </c>
      <c r="B11" s="127" t="s">
        <v>331</v>
      </c>
      <c r="C11" t="b">
        <v>1</v>
      </c>
    </row>
    <row r="12" spans="1:6" x14ac:dyDescent="0.2">
      <c r="A12" s="127" t="s">
        <v>846</v>
      </c>
      <c r="B12" s="127" t="s">
        <v>331</v>
      </c>
      <c r="C12" t="b">
        <v>0</v>
      </c>
    </row>
    <row r="13" spans="1:6" x14ac:dyDescent="0.2">
      <c r="A13" s="127"/>
      <c r="B13" s="127"/>
    </row>
    <row r="14" spans="1:6" x14ac:dyDescent="0.2">
      <c r="A14" t="s">
        <v>206</v>
      </c>
      <c r="B14" t="s">
        <v>332</v>
      </c>
    </row>
    <row r="16" spans="1:6" x14ac:dyDescent="0.2">
      <c r="A16" t="s">
        <v>866</v>
      </c>
      <c r="B16" t="s">
        <v>331</v>
      </c>
      <c r="C16">
        <v>0</v>
      </c>
      <c r="D16" s="133" t="str">
        <f>IF(Gleichstellungauswahl=1,"findet Beachtung",IF(Gleichstellungauswahl=2,"findet keine Beachtung",IF(Gleichstellungauswahl=3,"keine Relevanz"," " )))</f>
        <v xml:space="preserve"> </v>
      </c>
    </row>
    <row r="17" spans="1:4" x14ac:dyDescent="0.2">
      <c r="A17" t="s">
        <v>867</v>
      </c>
      <c r="B17" t="s">
        <v>331</v>
      </c>
      <c r="C17">
        <v>6</v>
      </c>
      <c r="D17" s="133" t="str">
        <f>IF(Nichtdiskriminierungauswahl=1,"findet Beachtung",IF(Nichtdiskriminierungauswahl=2,"findet keine Beachtung",IF(Nichtdiskriminierungauswahl=3,"keine Relevanz", " ")))</f>
        <v xml:space="preserve"> </v>
      </c>
    </row>
    <row r="18" spans="1:4" x14ac:dyDescent="0.2">
      <c r="A18" t="s">
        <v>340</v>
      </c>
      <c r="B18" t="s">
        <v>331</v>
      </c>
      <c r="C18">
        <v>0</v>
      </c>
      <c r="D18" s="133" t="str">
        <f>IF(Transnationalauswahl=1,"findet Beachtung",IF(Transnationalauswahl=2,"findet keine Beachtung",IF(Transnationalauswahl=3,"keine Relevanz", " ")))</f>
        <v xml:space="preserve"> </v>
      </c>
    </row>
    <row r="19" spans="1:4" x14ac:dyDescent="0.2">
      <c r="A19" t="s">
        <v>868</v>
      </c>
      <c r="B19" t="s">
        <v>331</v>
      </c>
      <c r="C19">
        <v>0</v>
      </c>
      <c r="D19" s="133" t="str">
        <f>IF(Nachhaltigkeitauswahl=1,"findet Beachtung",IF(Nachhaltigkeitauswahl=2,"findet keine Beachtung",IF(Nachhaltigkeitauswahl=3,"keine Relevanz", " ")))</f>
        <v xml:space="preserve"> </v>
      </c>
    </row>
    <row r="20" spans="1:4" x14ac:dyDescent="0.2">
      <c r="D20" s="133"/>
    </row>
    <row r="22" spans="1:4" x14ac:dyDescent="0.2">
      <c r="A22" t="s">
        <v>356</v>
      </c>
      <c r="B22" t="s">
        <v>331</v>
      </c>
      <c r="C22">
        <v>0</v>
      </c>
      <c r="D22" s="2" t="str">
        <f>IF(Entschuldung = 1, "Durchführung von Maßnahmen zur Entschuldung.", IF(Entschuldung=2,"keine Durchführung von Maßnahmen zur Entschuldung", " "))</f>
        <v xml:space="preserve"> </v>
      </c>
    </row>
    <row r="23" spans="1:4" x14ac:dyDescent="0.2">
      <c r="A23" t="s">
        <v>357</v>
      </c>
      <c r="B23" t="s">
        <v>331</v>
      </c>
      <c r="C23">
        <v>0</v>
      </c>
      <c r="D23" s="2" t="str">
        <f>IF(EuropaIch = 1, "Durchführung des Moduls Europa und Ich.", IF(EuropaIch=2,"keine Durchführung des Moduls Europa und Ich", " " ))</f>
        <v xml:space="preserve"> </v>
      </c>
    </row>
    <row r="26" spans="1:4" x14ac:dyDescent="0.2">
      <c r="A26" s="4" t="s">
        <v>358</v>
      </c>
    </row>
    <row r="27" spans="1:4" x14ac:dyDescent="0.2">
      <c r="A27" t="s">
        <v>359</v>
      </c>
      <c r="B27" t="s">
        <v>331</v>
      </c>
      <c r="C27">
        <v>0</v>
      </c>
    </row>
    <row r="28" spans="1:4" x14ac:dyDescent="0.2">
      <c r="A28" t="s">
        <v>364</v>
      </c>
      <c r="B28" t="s">
        <v>331</v>
      </c>
      <c r="C28">
        <v>0</v>
      </c>
    </row>
    <row r="29" spans="1:4" x14ac:dyDescent="0.2">
      <c r="A29" t="s">
        <v>367</v>
      </c>
      <c r="B29" t="s">
        <v>331</v>
      </c>
      <c r="C29">
        <v>0</v>
      </c>
    </row>
    <row r="30" spans="1:4" x14ac:dyDescent="0.2">
      <c r="A30" s="127" t="s">
        <v>370</v>
      </c>
      <c r="B30" s="127" t="s">
        <v>332</v>
      </c>
      <c r="C30">
        <v>1</v>
      </c>
      <c r="D30" s="2">
        <f ca="1">INDEX(INDIRECT(A30), C30)</f>
        <v>0</v>
      </c>
    </row>
    <row r="32" spans="1:4" x14ac:dyDescent="0.2">
      <c r="A32" t="s">
        <v>42</v>
      </c>
      <c r="B32" s="56">
        <f>(DATEDIF(Beginn,Ende,"M")+1)</f>
        <v>1</v>
      </c>
    </row>
    <row r="34" spans="1:4" x14ac:dyDescent="0.2">
      <c r="A34" t="s">
        <v>274</v>
      </c>
      <c r="B34" t="s">
        <v>331</v>
      </c>
      <c r="C34">
        <v>1</v>
      </c>
      <c r="D34" s="2" t="str">
        <f ca="1">INDEX(INDIRECT(A34), C34)</f>
        <v>Bitte auswählen</v>
      </c>
    </row>
    <row r="35" spans="1:4" x14ac:dyDescent="0.2">
      <c r="A35" t="s">
        <v>592</v>
      </c>
      <c r="B35" t="s">
        <v>331</v>
      </c>
      <c r="C35">
        <v>1</v>
      </c>
      <c r="D35" s="2" t="str">
        <f ca="1">INDEX(INDIRECT(A35), C35)</f>
        <v>Bitte auswählen</v>
      </c>
    </row>
    <row r="36" spans="1:4" x14ac:dyDescent="0.2">
      <c r="A36" t="s">
        <v>593</v>
      </c>
      <c r="B36" t="s">
        <v>331</v>
      </c>
      <c r="C36">
        <v>1</v>
      </c>
      <c r="D36" s="2">
        <f ca="1">INDEX(INDIRECT(A36), C36)</f>
        <v>0</v>
      </c>
    </row>
    <row r="38" spans="1:4" x14ac:dyDescent="0.2">
      <c r="A38" s="127" t="s">
        <v>669</v>
      </c>
      <c r="B38" s="127" t="s">
        <v>332</v>
      </c>
      <c r="C38" s="127">
        <v>1</v>
      </c>
    </row>
  </sheetData>
  <customSheetViews>
    <customSheetView guid="{EEA7A97B-E2BF-43AD-B211-D284BEE221A1}" showRuler="0">
      <selection activeCell="A2" sqref="A2:B2"/>
      <pageMargins left="0.78740157499999996" right="0.78740157499999996" top="0.984251969" bottom="0.984251969" header="0.4921259845" footer="0.4921259845"/>
      <headerFooter alignWithMargins="0"/>
    </customSheetView>
  </customSheetViews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D30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B4"/>
  <sheetViews>
    <sheetView workbookViewId="0">
      <selection activeCell="B4" sqref="B4"/>
    </sheetView>
  </sheetViews>
  <sheetFormatPr baseColWidth="10" defaultRowHeight="12.75" x14ac:dyDescent="0.2"/>
  <cols>
    <col min="1" max="1" width="7.140625" customWidth="1"/>
    <col min="2" max="2" width="16.5703125" customWidth="1"/>
  </cols>
  <sheetData>
    <row r="1" spans="1:2" x14ac:dyDescent="0.2">
      <c r="A1" s="126" t="s">
        <v>785</v>
      </c>
      <c r="B1" s="127" t="s">
        <v>786</v>
      </c>
    </row>
    <row r="2" spans="1:2" x14ac:dyDescent="0.2">
      <c r="A2" s="126" t="s">
        <v>787</v>
      </c>
      <c r="B2" s="127" t="s">
        <v>788</v>
      </c>
    </row>
    <row r="3" spans="1:2" x14ac:dyDescent="0.2">
      <c r="A3" s="29"/>
    </row>
    <row r="4" spans="1:2" x14ac:dyDescent="0.2">
      <c r="A4" s="29" t="s">
        <v>101</v>
      </c>
      <c r="B4" t="s">
        <v>528</v>
      </c>
    </row>
  </sheetData>
  <phoneticPr fontId="20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1"/>
  <dimension ref="A1:B37"/>
  <sheetViews>
    <sheetView workbookViewId="0">
      <selection activeCell="A2" sqref="A2:XFD3"/>
    </sheetView>
  </sheetViews>
  <sheetFormatPr baseColWidth="10" defaultRowHeight="12.75" x14ac:dyDescent="0.2"/>
  <cols>
    <col min="1" max="1" width="24.7109375" bestFit="1" customWidth="1"/>
    <col min="2" max="2" width="11.42578125" style="29" customWidth="1"/>
  </cols>
  <sheetData>
    <row r="1" spans="1:2" x14ac:dyDescent="0.2">
      <c r="A1" s="6" t="s">
        <v>650</v>
      </c>
    </row>
    <row r="2" spans="1:2" x14ac:dyDescent="0.2">
      <c r="A2" s="15" t="s">
        <v>848</v>
      </c>
      <c r="B2" s="126" t="s">
        <v>101</v>
      </c>
    </row>
    <row r="3" spans="1:2" x14ac:dyDescent="0.2">
      <c r="A3" s="15" t="s">
        <v>847</v>
      </c>
      <c r="B3" s="29" t="s">
        <v>101</v>
      </c>
    </row>
    <row r="4" spans="1:2" x14ac:dyDescent="0.2">
      <c r="A4" s="15" t="s">
        <v>77</v>
      </c>
      <c r="B4" s="126" t="s">
        <v>101</v>
      </c>
    </row>
    <row r="5" spans="1:2" x14ac:dyDescent="0.2">
      <c r="A5" s="15" t="s">
        <v>102</v>
      </c>
      <c r="B5" s="126" t="s">
        <v>101</v>
      </c>
    </row>
    <row r="6" spans="1:2" x14ac:dyDescent="0.2">
      <c r="A6" s="15" t="s">
        <v>63</v>
      </c>
      <c r="B6" s="126" t="s">
        <v>101</v>
      </c>
    </row>
    <row r="7" spans="1:2" x14ac:dyDescent="0.2">
      <c r="A7" s="15" t="s">
        <v>64</v>
      </c>
      <c r="B7" s="126" t="s">
        <v>101</v>
      </c>
    </row>
    <row r="8" spans="1:2" x14ac:dyDescent="0.2">
      <c r="A8" s="15" t="s">
        <v>78</v>
      </c>
      <c r="B8" s="126" t="s">
        <v>101</v>
      </c>
    </row>
    <row r="9" spans="1:2" x14ac:dyDescent="0.2">
      <c r="A9" s="15" t="s">
        <v>58</v>
      </c>
      <c r="B9" s="29" t="s">
        <v>101</v>
      </c>
    </row>
    <row r="10" spans="1:2" x14ac:dyDescent="0.2">
      <c r="A10" s="15" t="s">
        <v>79</v>
      </c>
      <c r="B10" s="126" t="s">
        <v>101</v>
      </c>
    </row>
    <row r="11" spans="1:2" x14ac:dyDescent="0.2">
      <c r="A11" s="15" t="s">
        <v>55</v>
      </c>
      <c r="B11" s="29" t="s">
        <v>101</v>
      </c>
    </row>
    <row r="12" spans="1:2" x14ac:dyDescent="0.2">
      <c r="A12" s="15" t="s">
        <v>80</v>
      </c>
      <c r="B12" s="126" t="s">
        <v>101</v>
      </c>
    </row>
    <row r="13" spans="1:2" x14ac:dyDescent="0.2">
      <c r="A13" s="15" t="s">
        <v>65</v>
      </c>
      <c r="B13" s="29" t="s">
        <v>101</v>
      </c>
    </row>
    <row r="14" spans="1:2" x14ac:dyDescent="0.2">
      <c r="A14" s="15" t="s">
        <v>66</v>
      </c>
      <c r="B14" s="29" t="s">
        <v>101</v>
      </c>
    </row>
    <row r="15" spans="1:2" x14ac:dyDescent="0.2">
      <c r="A15" s="15" t="s">
        <v>67</v>
      </c>
      <c r="B15" s="29" t="s">
        <v>101</v>
      </c>
    </row>
    <row r="16" spans="1:2" x14ac:dyDescent="0.2">
      <c r="A16" s="15" t="s">
        <v>68</v>
      </c>
      <c r="B16" s="29" t="s">
        <v>101</v>
      </c>
    </row>
    <row r="17" spans="1:2" x14ac:dyDescent="0.2">
      <c r="A17" s="15" t="s">
        <v>56</v>
      </c>
      <c r="B17" s="29" t="s">
        <v>101</v>
      </c>
    </row>
    <row r="18" spans="1:2" x14ac:dyDescent="0.2">
      <c r="A18" s="15" t="s">
        <v>81</v>
      </c>
      <c r="B18" s="29" t="s">
        <v>101</v>
      </c>
    </row>
    <row r="19" spans="1:2" x14ac:dyDescent="0.2">
      <c r="A19" s="15" t="s">
        <v>70</v>
      </c>
      <c r="B19" s="29" t="s">
        <v>101</v>
      </c>
    </row>
    <row r="20" spans="1:2" x14ac:dyDescent="0.2">
      <c r="A20" s="15" t="s">
        <v>59</v>
      </c>
      <c r="B20" s="29" t="s">
        <v>101</v>
      </c>
    </row>
    <row r="21" spans="1:2" x14ac:dyDescent="0.2">
      <c r="A21" s="15" t="s">
        <v>104</v>
      </c>
      <c r="B21" s="29" t="s">
        <v>101</v>
      </c>
    </row>
    <row r="22" spans="1:2" x14ac:dyDescent="0.2">
      <c r="A22" s="15" t="s">
        <v>105</v>
      </c>
      <c r="B22" s="29" t="s">
        <v>101</v>
      </c>
    </row>
    <row r="23" spans="1:2" x14ac:dyDescent="0.2">
      <c r="A23" s="6" t="s">
        <v>103</v>
      </c>
      <c r="B23" s="29" t="s">
        <v>101</v>
      </c>
    </row>
    <row r="24" spans="1:2" x14ac:dyDescent="0.2">
      <c r="A24" s="15" t="s">
        <v>106</v>
      </c>
      <c r="B24" s="29" t="s">
        <v>101</v>
      </c>
    </row>
    <row r="25" spans="1:2" x14ac:dyDescent="0.2">
      <c r="A25" s="15" t="s">
        <v>60</v>
      </c>
      <c r="B25" s="29" t="s">
        <v>101</v>
      </c>
    </row>
    <row r="26" spans="1:2" x14ac:dyDescent="0.2">
      <c r="A26" s="15" t="s">
        <v>69</v>
      </c>
      <c r="B26" s="29" t="s">
        <v>101</v>
      </c>
    </row>
    <row r="27" spans="1:2" x14ac:dyDescent="0.2">
      <c r="A27" s="15" t="s">
        <v>82</v>
      </c>
      <c r="B27" s="29" t="s">
        <v>101</v>
      </c>
    </row>
    <row r="28" spans="1:2" x14ac:dyDescent="0.2">
      <c r="A28" s="15" t="s">
        <v>83</v>
      </c>
      <c r="B28" s="29" t="s">
        <v>101</v>
      </c>
    </row>
    <row r="29" spans="1:2" x14ac:dyDescent="0.2">
      <c r="A29" s="15" t="s">
        <v>88</v>
      </c>
      <c r="B29" s="29" t="s">
        <v>101</v>
      </c>
    </row>
    <row r="30" spans="1:2" x14ac:dyDescent="0.2">
      <c r="A30" s="16" t="s">
        <v>85</v>
      </c>
      <c r="B30" s="126" t="s">
        <v>101</v>
      </c>
    </row>
    <row r="31" spans="1:2" x14ac:dyDescent="0.2">
      <c r="A31" s="15" t="s">
        <v>54</v>
      </c>
      <c r="B31" s="29" t="s">
        <v>101</v>
      </c>
    </row>
    <row r="32" spans="1:2" x14ac:dyDescent="0.2">
      <c r="A32" s="15" t="s">
        <v>61</v>
      </c>
      <c r="B32" s="126" t="s">
        <v>101</v>
      </c>
    </row>
    <row r="33" spans="1:2" x14ac:dyDescent="0.2">
      <c r="A33" s="15" t="s">
        <v>57</v>
      </c>
      <c r="B33" s="29" t="s">
        <v>101</v>
      </c>
    </row>
    <row r="34" spans="1:2" x14ac:dyDescent="0.2">
      <c r="A34" s="15" t="s">
        <v>62</v>
      </c>
      <c r="B34" s="126" t="s">
        <v>101</v>
      </c>
    </row>
    <row r="35" spans="1:2" x14ac:dyDescent="0.2">
      <c r="A35" s="15" t="s">
        <v>84</v>
      </c>
      <c r="B35" s="29" t="s">
        <v>101</v>
      </c>
    </row>
    <row r="36" spans="1:2" x14ac:dyDescent="0.2">
      <c r="A36" s="128" t="s">
        <v>789</v>
      </c>
      <c r="B36" s="126" t="s">
        <v>101</v>
      </c>
    </row>
    <row r="37" spans="1:2" x14ac:dyDescent="0.2">
      <c r="A37" s="15" t="s">
        <v>849</v>
      </c>
      <c r="B37" s="126" t="s">
        <v>101</v>
      </c>
    </row>
  </sheetData>
  <sortState ref="A4:B39">
    <sortCondition ref="A4:A39"/>
  </sortState>
  <customSheetViews>
    <customSheetView guid="{EEA7A97B-E2BF-43AD-B211-D284BEE221A1}" showRuler="0">
      <selection sqref="A1:A38"/>
      <pageMargins left="0.78740157499999996" right="0.78740157499999996" top="0.984251969" bottom="0.984251969" header="0.4921259845" footer="0.4921259845"/>
      <headerFooter alignWithMargins="0"/>
    </customSheetView>
  </customSheetViews>
  <phoneticPr fontId="20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4"/>
  <sheetViews>
    <sheetView workbookViewId="0">
      <selection activeCell="A3" sqref="A3"/>
    </sheetView>
  </sheetViews>
  <sheetFormatPr baseColWidth="10" defaultRowHeight="12.75" x14ac:dyDescent="0.2"/>
  <cols>
    <col min="1" max="1" width="121.5703125" customWidth="1"/>
  </cols>
  <sheetData>
    <row r="1" spans="1:1" x14ac:dyDescent="0.2">
      <c r="A1" s="4" t="s">
        <v>268</v>
      </c>
    </row>
    <row r="2" spans="1:1" x14ac:dyDescent="0.2">
      <c r="A2" s="127" t="s">
        <v>650</v>
      </c>
    </row>
    <row r="3" spans="1:1" x14ac:dyDescent="0.2">
      <c r="A3" s="127"/>
    </row>
    <row r="4" spans="1:1" x14ac:dyDescent="0.2">
      <c r="A4" s="127"/>
    </row>
  </sheetData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F14"/>
  <sheetViews>
    <sheetView workbookViewId="0">
      <selection activeCell="C3" sqref="C3:C4"/>
    </sheetView>
  </sheetViews>
  <sheetFormatPr baseColWidth="10" defaultRowHeight="12.75" x14ac:dyDescent="0.2"/>
  <cols>
    <col min="1" max="1" width="50.28515625" customWidth="1"/>
    <col min="2" max="2" width="32.28515625" customWidth="1"/>
    <col min="3" max="3" width="50.28515625" customWidth="1"/>
    <col min="4" max="4" width="42.42578125" customWidth="1"/>
    <col min="5" max="5" width="38.42578125" customWidth="1"/>
    <col min="6" max="6" width="15.42578125" customWidth="1"/>
  </cols>
  <sheetData>
    <row r="1" spans="1:6" x14ac:dyDescent="0.2">
      <c r="A1" s="4" t="s">
        <v>269</v>
      </c>
      <c r="B1" s="4" t="s">
        <v>263</v>
      </c>
      <c r="C1" s="4" t="s">
        <v>264</v>
      </c>
      <c r="D1" s="4" t="s">
        <v>265</v>
      </c>
      <c r="E1" s="4" t="s">
        <v>266</v>
      </c>
      <c r="F1" s="4" t="s">
        <v>591</v>
      </c>
    </row>
    <row r="2" spans="1:6" x14ac:dyDescent="0.2">
      <c r="A2" t="str">
        <f t="shared" ref="A2:A7" ca="1" si="0">IF(OFFSET(A2,0,Pachseauswahl) = 0,"Bitte auswählen",OFFSET(A2,0,Pachseauswahl))</f>
        <v>Bitte auswählen</v>
      </c>
      <c r="B2" t="s">
        <v>650</v>
      </c>
      <c r="C2" t="s">
        <v>650</v>
      </c>
      <c r="F2" s="3" t="s">
        <v>650</v>
      </c>
    </row>
    <row r="3" spans="1:6" ht="114.75" x14ac:dyDescent="0.2">
      <c r="A3" t="str">
        <f t="shared" ca="1" si="0"/>
        <v>ESO 4.6 Förderung Förderung des gleichberechtigten Zugangs zu hochwertiger und inklusiver allgemeiner
und beruflicher Bildung</v>
      </c>
      <c r="B3" t="s">
        <v>650</v>
      </c>
      <c r="C3" s="156" t="s">
        <v>914</v>
      </c>
      <c r="D3" s="128"/>
      <c r="E3" s="127"/>
      <c r="F3" s="156" t="s">
        <v>915</v>
      </c>
    </row>
    <row r="4" spans="1:6" ht="51" x14ac:dyDescent="0.2">
      <c r="A4" t="str">
        <f t="shared" ca="1" si="0"/>
        <v>ESO 4.7 Förderung des lebenslangen Lernens</v>
      </c>
      <c r="B4" t="s">
        <v>650</v>
      </c>
      <c r="C4" s="128" t="s">
        <v>913</v>
      </c>
      <c r="D4" s="128"/>
      <c r="E4" s="127"/>
      <c r="F4" s="156" t="s">
        <v>913</v>
      </c>
    </row>
    <row r="5" spans="1:6" x14ac:dyDescent="0.2">
      <c r="A5" t="str">
        <f t="shared" ca="1" si="0"/>
        <v>Bitte auswählen</v>
      </c>
      <c r="B5" t="s">
        <v>650</v>
      </c>
      <c r="C5" s="17"/>
      <c r="D5" s="17"/>
      <c r="E5" s="127"/>
      <c r="F5" s="128"/>
    </row>
    <row r="6" spans="1:6" x14ac:dyDescent="0.2">
      <c r="A6" t="str">
        <f t="shared" ca="1" si="0"/>
        <v>Bitte auswählen</v>
      </c>
      <c r="B6" t="s">
        <v>650</v>
      </c>
      <c r="C6" s="17"/>
      <c r="D6" s="17"/>
      <c r="E6" s="127"/>
      <c r="F6" s="128"/>
    </row>
    <row r="7" spans="1:6" x14ac:dyDescent="0.2">
      <c r="A7" t="str">
        <f t="shared" ca="1" si="0"/>
        <v>Bitte auswählen</v>
      </c>
      <c r="C7" s="17"/>
      <c r="D7" s="17"/>
    </row>
    <row r="8" spans="1:6" x14ac:dyDescent="0.2">
      <c r="F8" s="17"/>
    </row>
    <row r="9" spans="1:6" x14ac:dyDescent="0.2">
      <c r="F9" s="128"/>
    </row>
    <row r="10" spans="1:6" x14ac:dyDescent="0.2">
      <c r="F10" s="17"/>
    </row>
    <row r="11" spans="1:6" x14ac:dyDescent="0.2">
      <c r="F11" s="17"/>
    </row>
    <row r="14" spans="1:6" x14ac:dyDescent="0.2">
      <c r="F14" s="127"/>
    </row>
  </sheetData>
  <phoneticPr fontId="20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T23"/>
  <sheetViews>
    <sheetView topLeftCell="B1" workbookViewId="0">
      <selection activeCell="D9" sqref="D9"/>
    </sheetView>
  </sheetViews>
  <sheetFormatPr baseColWidth="10" defaultRowHeight="12.75" x14ac:dyDescent="0.2"/>
  <cols>
    <col min="1" max="1" width="30.42578125" customWidth="1"/>
    <col min="2" max="2" width="30.140625" bestFit="1" customWidth="1"/>
    <col min="3" max="3" width="11.7109375" customWidth="1"/>
    <col min="5" max="5" width="11.85546875" customWidth="1"/>
    <col min="6" max="6" width="13.7109375" customWidth="1"/>
    <col min="7" max="9" width="10.85546875" customWidth="1"/>
    <col min="10" max="10" width="11.28515625" customWidth="1"/>
    <col min="11" max="12" width="11.7109375" customWidth="1"/>
    <col min="13" max="14" width="12" customWidth="1"/>
    <col min="15" max="15" width="33.5703125" customWidth="1"/>
    <col min="16" max="16" width="12" customWidth="1"/>
    <col min="17" max="18" width="27" customWidth="1"/>
    <col min="19" max="19" width="50.85546875" bestFit="1" customWidth="1"/>
  </cols>
  <sheetData>
    <row r="1" spans="1:20" x14ac:dyDescent="0.2">
      <c r="A1" s="4" t="s">
        <v>262</v>
      </c>
      <c r="B1" s="4" t="s">
        <v>582</v>
      </c>
      <c r="C1" s="4" t="s">
        <v>569</v>
      </c>
      <c r="D1" s="4" t="s">
        <v>570</v>
      </c>
      <c r="E1" s="4" t="s">
        <v>571</v>
      </c>
      <c r="F1" s="4" t="s">
        <v>572</v>
      </c>
      <c r="G1" s="4" t="s">
        <v>573</v>
      </c>
      <c r="H1" s="4" t="s">
        <v>574</v>
      </c>
      <c r="I1" s="4" t="s">
        <v>575</v>
      </c>
      <c r="J1" s="4" t="s">
        <v>576</v>
      </c>
      <c r="K1" s="4" t="s">
        <v>577</v>
      </c>
      <c r="L1" s="4" t="s">
        <v>578</v>
      </c>
      <c r="M1" s="4" t="s">
        <v>579</v>
      </c>
      <c r="N1" s="4" t="s">
        <v>580</v>
      </c>
      <c r="O1" s="4" t="s">
        <v>581</v>
      </c>
      <c r="P1" s="4" t="s">
        <v>715</v>
      </c>
      <c r="Q1" s="4" t="s">
        <v>591</v>
      </c>
      <c r="S1" s="4"/>
      <c r="T1" s="4"/>
    </row>
    <row r="2" spans="1:20" x14ac:dyDescent="0.2">
      <c r="A2" t="str">
        <f t="shared" ref="A2:A7" ca="1" si="0">IF(OFFSET(A2,0,FAnsatzlisteVersatz) = 0,"Bitte auswählen",OFFSET(A2,0,FAnsatzlisteVersatz))</f>
        <v>Bitte auswählen</v>
      </c>
      <c r="B2" s="127" t="s">
        <v>807</v>
      </c>
      <c r="Q2" t="s">
        <v>650</v>
      </c>
    </row>
    <row r="3" spans="1:20" x14ac:dyDescent="0.2">
      <c r="A3" t="str">
        <f t="shared" ca="1" si="0"/>
        <v>Bitte auswählen</v>
      </c>
      <c r="B3" s="127" t="s">
        <v>807</v>
      </c>
      <c r="C3" s="127"/>
      <c r="D3" s="127" t="s">
        <v>838</v>
      </c>
      <c r="E3" s="127"/>
      <c r="H3" s="127"/>
      <c r="I3" s="127"/>
      <c r="J3" s="127"/>
      <c r="K3" s="127"/>
      <c r="N3" s="127"/>
      <c r="O3" s="127"/>
      <c r="P3" s="127"/>
      <c r="Q3" s="127" t="s">
        <v>912</v>
      </c>
      <c r="S3" s="6"/>
    </row>
    <row r="4" spans="1:20" x14ac:dyDescent="0.2">
      <c r="A4" t="str">
        <f t="shared" ca="1" si="0"/>
        <v>Bitte auswählen</v>
      </c>
      <c r="B4" s="127" t="s">
        <v>807</v>
      </c>
      <c r="C4" s="127" t="s">
        <v>912</v>
      </c>
      <c r="D4" s="127" t="s">
        <v>912</v>
      </c>
      <c r="E4" s="127"/>
      <c r="I4" s="128"/>
      <c r="J4" s="6"/>
      <c r="K4" s="6"/>
      <c r="L4" s="6"/>
      <c r="M4" s="127"/>
      <c r="N4" s="127"/>
      <c r="O4" s="127"/>
      <c r="P4" s="127"/>
      <c r="Q4" s="127" t="s">
        <v>839</v>
      </c>
      <c r="S4" s="6"/>
    </row>
    <row r="5" spans="1:20" x14ac:dyDescent="0.2">
      <c r="A5" t="str">
        <f t="shared" ca="1" si="0"/>
        <v>Bitte auswählen</v>
      </c>
      <c r="B5" s="127" t="s">
        <v>807</v>
      </c>
      <c r="C5" s="127"/>
      <c r="D5" s="127"/>
      <c r="E5" s="127"/>
      <c r="J5" s="128"/>
      <c r="K5" s="6"/>
      <c r="L5" s="6"/>
      <c r="O5" s="127"/>
      <c r="T5" s="6"/>
    </row>
    <row r="6" spans="1:20" x14ac:dyDescent="0.2">
      <c r="A6" t="str">
        <f t="shared" ca="1" si="0"/>
        <v>Bitte auswählen</v>
      </c>
      <c r="B6" s="127" t="s">
        <v>807</v>
      </c>
      <c r="C6" s="127"/>
      <c r="D6" s="127"/>
      <c r="E6" s="127"/>
      <c r="I6" s="6"/>
      <c r="J6" s="128"/>
      <c r="K6" s="6"/>
      <c r="L6" s="6"/>
      <c r="O6" s="127"/>
      <c r="P6" s="127"/>
    </row>
    <row r="7" spans="1:20" x14ac:dyDescent="0.2">
      <c r="A7" t="str">
        <f t="shared" ca="1" si="0"/>
        <v>Bitte auswählen</v>
      </c>
      <c r="B7" s="127" t="s">
        <v>807</v>
      </c>
      <c r="D7" s="127"/>
      <c r="E7" s="127"/>
      <c r="I7" s="6"/>
      <c r="K7" s="6"/>
      <c r="L7" s="6"/>
      <c r="M7" s="127"/>
      <c r="N7" s="127"/>
      <c r="O7" s="127"/>
      <c r="Q7" s="127"/>
    </row>
    <row r="8" spans="1:20" x14ac:dyDescent="0.2">
      <c r="I8" s="6"/>
      <c r="K8" s="6"/>
      <c r="L8" s="6"/>
      <c r="M8" s="127"/>
      <c r="N8" s="127"/>
    </row>
    <row r="9" spans="1:20" x14ac:dyDescent="0.2">
      <c r="Q9" s="127"/>
    </row>
    <row r="10" spans="1:20" x14ac:dyDescent="0.2">
      <c r="Q10" s="127"/>
    </row>
    <row r="11" spans="1:20" x14ac:dyDescent="0.2">
      <c r="Q11" s="6"/>
    </row>
    <row r="12" spans="1:20" x14ac:dyDescent="0.2">
      <c r="Q12" s="127"/>
    </row>
    <row r="13" spans="1:20" x14ac:dyDescent="0.2">
      <c r="A13">
        <f>IF(ISERROR(MATCH("Auswahl"&amp;Pachseauswahl&amp;Aktionauswahl,FAnsatzAuswahlen,0)),1,MATCH("Auswahl"&amp;Pachseauswahl&amp;Aktionauswahl,FAnsatzAuswahlen,0)-1)</f>
        <v>4</v>
      </c>
      <c r="T13" s="6"/>
    </row>
    <row r="14" spans="1:20" x14ac:dyDescent="0.2">
      <c r="T14" s="6"/>
    </row>
    <row r="15" spans="1:20" x14ac:dyDescent="0.2">
      <c r="T15" s="6"/>
    </row>
    <row r="16" spans="1:20" x14ac:dyDescent="0.2">
      <c r="T16" s="6"/>
    </row>
    <row r="17" spans="17:20" x14ac:dyDescent="0.2">
      <c r="T17" s="6"/>
    </row>
    <row r="18" spans="17:20" x14ac:dyDescent="0.2">
      <c r="T18" s="6"/>
    </row>
    <row r="20" spans="17:20" x14ac:dyDescent="0.2">
      <c r="T20" s="6"/>
    </row>
    <row r="21" spans="17:20" x14ac:dyDescent="0.2">
      <c r="Q21" s="128"/>
    </row>
    <row r="22" spans="17:20" x14ac:dyDescent="0.2">
      <c r="Q22" s="127"/>
    </row>
    <row r="23" spans="17:20" x14ac:dyDescent="0.2">
      <c r="Q23" s="127"/>
    </row>
  </sheetData>
  <phoneticPr fontId="20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X7"/>
  <sheetViews>
    <sheetView workbookViewId="0">
      <selection activeCell="G3" sqref="G3"/>
    </sheetView>
  </sheetViews>
  <sheetFormatPr baseColWidth="10" defaultRowHeight="12.75" x14ac:dyDescent="0.2"/>
  <cols>
    <col min="2" max="2" width="30.7109375" customWidth="1"/>
  </cols>
  <sheetData>
    <row r="1" spans="1:24" x14ac:dyDescent="0.2">
      <c r="A1" s="4" t="s">
        <v>651</v>
      </c>
      <c r="B1" s="4" t="s">
        <v>582</v>
      </c>
      <c r="C1" s="4" t="s">
        <v>654</v>
      </c>
      <c r="D1" s="4" t="s">
        <v>655</v>
      </c>
      <c r="E1" s="4" t="s">
        <v>659</v>
      </c>
      <c r="F1" s="4" t="s">
        <v>656</v>
      </c>
      <c r="G1" s="4" t="s">
        <v>657</v>
      </c>
      <c r="H1" s="4" t="s">
        <v>679</v>
      </c>
      <c r="I1" s="4" t="s">
        <v>660</v>
      </c>
      <c r="J1" s="4" t="s">
        <v>681</v>
      </c>
      <c r="K1" s="4" t="s">
        <v>682</v>
      </c>
      <c r="L1" s="4" t="s">
        <v>683</v>
      </c>
      <c r="M1" s="4" t="s">
        <v>684</v>
      </c>
      <c r="N1" s="4" t="s">
        <v>685</v>
      </c>
      <c r="O1" s="4" t="s">
        <v>661</v>
      </c>
      <c r="P1" s="4" t="s">
        <v>686</v>
      </c>
      <c r="Q1" s="4" t="s">
        <v>687</v>
      </c>
      <c r="R1" s="4" t="s">
        <v>688</v>
      </c>
      <c r="S1" s="4" t="s">
        <v>658</v>
      </c>
      <c r="T1" s="4" t="s">
        <v>689</v>
      </c>
      <c r="U1" s="4" t="s">
        <v>690</v>
      </c>
      <c r="V1" s="4" t="s">
        <v>734</v>
      </c>
      <c r="W1" s="4" t="s">
        <v>735</v>
      </c>
      <c r="X1" s="4" t="s">
        <v>591</v>
      </c>
    </row>
    <row r="2" spans="1:24" x14ac:dyDescent="0.2">
      <c r="A2" t="str">
        <f t="shared" ref="A2:A7" ca="1" si="0">IF(OFFSET(A2,0,Plstgansatzlisteversatz) = 0,"Bitte auswählen",OFFSET(A2,0,Plstgansatzlisteversatz))</f>
        <v>Bitte erst Prioritätsachse auswählen</v>
      </c>
      <c r="B2" t="s">
        <v>267</v>
      </c>
      <c r="X2" t="s">
        <v>650</v>
      </c>
    </row>
    <row r="3" spans="1:24" x14ac:dyDescent="0.2">
      <c r="A3" t="str">
        <f t="shared" ca="1" si="0"/>
        <v>Bitte erst Prioritätsachse auswählen</v>
      </c>
      <c r="B3" t="s">
        <v>267</v>
      </c>
      <c r="C3" s="127" t="s">
        <v>652</v>
      </c>
      <c r="D3" t="s">
        <v>653</v>
      </c>
      <c r="E3" t="s">
        <v>653</v>
      </c>
      <c r="F3" t="s">
        <v>653</v>
      </c>
      <c r="G3" s="127" t="s">
        <v>692</v>
      </c>
      <c r="H3" s="127" t="s">
        <v>680</v>
      </c>
      <c r="I3" s="127" t="s">
        <v>652</v>
      </c>
      <c r="J3" s="6" t="s">
        <v>652</v>
      </c>
      <c r="K3" s="6" t="s">
        <v>652</v>
      </c>
      <c r="L3" s="6" t="s">
        <v>652</v>
      </c>
      <c r="M3" s="6" t="s">
        <v>652</v>
      </c>
      <c r="N3" s="6" t="s">
        <v>652</v>
      </c>
      <c r="O3" s="6" t="s">
        <v>652</v>
      </c>
      <c r="P3" s="6" t="s">
        <v>652</v>
      </c>
      <c r="Q3" s="6" t="s">
        <v>652</v>
      </c>
      <c r="R3" s="127" t="s">
        <v>652</v>
      </c>
      <c r="S3" s="6" t="s">
        <v>652</v>
      </c>
      <c r="T3" s="128" t="s">
        <v>652</v>
      </c>
      <c r="U3" s="128" t="s">
        <v>652</v>
      </c>
      <c r="V3" s="128" t="s">
        <v>652</v>
      </c>
      <c r="W3" s="128" t="s">
        <v>652</v>
      </c>
      <c r="X3" t="s">
        <v>653</v>
      </c>
    </row>
    <row r="4" spans="1:24" x14ac:dyDescent="0.2">
      <c r="A4" t="str">
        <f t="shared" ca="1" si="0"/>
        <v>Bitte erst Prioritätsachse auswählen</v>
      </c>
      <c r="B4" t="s">
        <v>267</v>
      </c>
      <c r="C4" s="127"/>
      <c r="F4" s="127"/>
      <c r="G4" s="127"/>
      <c r="H4" s="127"/>
      <c r="J4" s="6"/>
      <c r="K4" s="6"/>
      <c r="L4" s="6"/>
      <c r="M4" s="6"/>
      <c r="N4" s="6"/>
      <c r="O4" s="6"/>
      <c r="P4" s="6"/>
      <c r="Q4" s="6"/>
      <c r="T4" s="128"/>
      <c r="U4" s="128"/>
      <c r="V4" s="128"/>
      <c r="W4" s="128"/>
      <c r="X4" t="s">
        <v>652</v>
      </c>
    </row>
    <row r="5" spans="1:24" x14ac:dyDescent="0.2">
      <c r="A5" t="str">
        <f t="shared" ca="1" si="0"/>
        <v>Bitte erst Prioritätsachse auswählen</v>
      </c>
      <c r="B5" t="s">
        <v>267</v>
      </c>
      <c r="J5" s="6"/>
      <c r="K5" s="6"/>
      <c r="L5" s="6"/>
      <c r="M5" s="6"/>
      <c r="N5" s="6"/>
      <c r="O5" s="6"/>
      <c r="P5" s="6"/>
      <c r="Q5" s="6"/>
      <c r="X5" s="127" t="s">
        <v>674</v>
      </c>
    </row>
    <row r="6" spans="1:24" x14ac:dyDescent="0.2">
      <c r="A6" t="str">
        <f t="shared" ca="1" si="0"/>
        <v>Bitte erst Prioritätsachse auswählen</v>
      </c>
      <c r="B6" t="s">
        <v>267</v>
      </c>
      <c r="J6" s="6"/>
      <c r="K6" s="6"/>
      <c r="L6" s="6"/>
      <c r="M6" s="6"/>
      <c r="N6" s="6"/>
      <c r="O6" s="6"/>
      <c r="P6" s="6"/>
      <c r="Q6" s="6"/>
      <c r="X6" s="127" t="s">
        <v>675</v>
      </c>
    </row>
    <row r="7" spans="1:24" x14ac:dyDescent="0.2">
      <c r="A7" t="str">
        <f t="shared" ca="1" si="0"/>
        <v>Bitte erst Prioritätsachse auswählen</v>
      </c>
      <c r="B7" t="s">
        <v>267</v>
      </c>
      <c r="J7" s="6"/>
      <c r="K7" s="6"/>
      <c r="L7" s="6"/>
      <c r="M7" s="6"/>
      <c r="N7" s="6"/>
      <c r="O7" s="6"/>
      <c r="P7" s="6"/>
      <c r="Q7" s="6"/>
    </row>
  </sheetData>
  <phoneticPr fontId="20" type="noConversion"/>
  <pageMargins left="0.78740157499999996" right="0.78740157499999996" top="0.984251969" bottom="0.984251969" header="0.4921259845" footer="0.492125984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/>
  <dimension ref="A1:A15"/>
  <sheetViews>
    <sheetView workbookViewId="0">
      <selection activeCell="A9" sqref="A9"/>
    </sheetView>
  </sheetViews>
  <sheetFormatPr baseColWidth="10" defaultRowHeight="12.75" x14ac:dyDescent="0.2"/>
  <cols>
    <col min="1" max="1" width="65.7109375" customWidth="1"/>
  </cols>
  <sheetData>
    <row r="1" spans="1:1" x14ac:dyDescent="0.2">
      <c r="A1" s="6" t="s">
        <v>650</v>
      </c>
    </row>
    <row r="2" spans="1:1" x14ac:dyDescent="0.2">
      <c r="A2" s="127" t="s">
        <v>917</v>
      </c>
    </row>
    <row r="3" spans="1:1" x14ac:dyDescent="0.2">
      <c r="A3" s="127" t="s">
        <v>840</v>
      </c>
    </row>
    <row r="4" spans="1:1" x14ac:dyDescent="0.2">
      <c r="A4" s="187" t="s">
        <v>916</v>
      </c>
    </row>
    <row r="5" spans="1:1" x14ac:dyDescent="0.2">
      <c r="A5" s="187"/>
    </row>
    <row r="6" spans="1:1" x14ac:dyDescent="0.2">
      <c r="A6" s="187"/>
    </row>
    <row r="7" spans="1:1" x14ac:dyDescent="0.2">
      <c r="A7" s="135"/>
    </row>
    <row r="8" spans="1:1" x14ac:dyDescent="0.2">
      <c r="A8" s="128"/>
    </row>
    <row r="9" spans="1:1" x14ac:dyDescent="0.2">
      <c r="A9" s="128"/>
    </row>
    <row r="10" spans="1:1" x14ac:dyDescent="0.2">
      <c r="A10" s="128"/>
    </row>
    <row r="11" spans="1:1" x14ac:dyDescent="0.2">
      <c r="A11" s="128"/>
    </row>
    <row r="12" spans="1:1" x14ac:dyDescent="0.2">
      <c r="A12" s="128"/>
    </row>
    <row r="13" spans="1:1" x14ac:dyDescent="0.2">
      <c r="A13" s="128"/>
    </row>
    <row r="15" spans="1:1" x14ac:dyDescent="0.2">
      <c r="A15" s="6"/>
    </row>
  </sheetData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2:A3"/>
  <sheetViews>
    <sheetView workbookViewId="0">
      <selection activeCell="D44" sqref="D44"/>
    </sheetView>
  </sheetViews>
  <sheetFormatPr baseColWidth="10" defaultRowHeight="12.75" x14ac:dyDescent="0.2"/>
  <sheetData>
    <row r="2" spans="1:1" x14ac:dyDescent="0.2">
      <c r="A2" t="s">
        <v>668</v>
      </c>
    </row>
    <row r="3" spans="1:1" x14ac:dyDescent="0.2">
      <c r="A3" t="s">
        <v>667</v>
      </c>
    </row>
  </sheetData>
  <phoneticPr fontId="29" type="noConversion"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2:A11"/>
  <sheetViews>
    <sheetView workbookViewId="0">
      <selection activeCell="A6" sqref="A6"/>
    </sheetView>
  </sheetViews>
  <sheetFormatPr baseColWidth="10" defaultRowHeight="12.75" x14ac:dyDescent="0.2"/>
  <sheetData>
    <row r="2" spans="1:1" x14ac:dyDescent="0.2">
      <c r="A2" s="8" t="s">
        <v>137</v>
      </c>
    </row>
    <row r="3" spans="1:1" x14ac:dyDescent="0.2">
      <c r="A3" s="146" t="s">
        <v>835</v>
      </c>
    </row>
    <row r="4" spans="1:1" x14ac:dyDescent="0.2">
      <c r="A4" s="146" t="s">
        <v>827</v>
      </c>
    </row>
    <row r="5" spans="1:1" x14ac:dyDescent="0.2">
      <c r="A5" s="146" t="s">
        <v>828</v>
      </c>
    </row>
    <row r="6" spans="1:1" x14ac:dyDescent="0.2">
      <c r="A6" s="146" t="s">
        <v>830</v>
      </c>
    </row>
    <row r="7" spans="1:1" x14ac:dyDescent="0.2">
      <c r="A7" s="146" t="s">
        <v>829</v>
      </c>
    </row>
    <row r="8" spans="1:1" x14ac:dyDescent="0.2">
      <c r="A8" s="146" t="s">
        <v>751</v>
      </c>
    </row>
    <row r="9" spans="1:1" x14ac:dyDescent="0.2">
      <c r="A9" s="13" t="s">
        <v>671</v>
      </c>
    </row>
    <row r="10" spans="1:1" x14ac:dyDescent="0.2">
      <c r="A10" s="8" t="s">
        <v>670</v>
      </c>
    </row>
    <row r="11" spans="1:1" x14ac:dyDescent="0.2">
      <c r="A11" s="8" t="s">
        <v>35</v>
      </c>
    </row>
  </sheetData>
  <phoneticPr fontId="20" type="noConversion"/>
  <pageMargins left="0.78740157499999996" right="0.78740157499999996" top="0.984251969" bottom="0.984251969" header="0.4921259845" footer="0.492125984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B174"/>
  <sheetViews>
    <sheetView topLeftCell="A21" workbookViewId="0">
      <selection activeCell="A13" sqref="A13"/>
    </sheetView>
  </sheetViews>
  <sheetFormatPr baseColWidth="10" defaultRowHeight="12.75" x14ac:dyDescent="0.2"/>
  <cols>
    <col min="1" max="1" width="29" style="92" customWidth="1"/>
    <col min="2" max="2" width="34.7109375" style="92" customWidth="1"/>
  </cols>
  <sheetData>
    <row r="1" spans="1:2" x14ac:dyDescent="0.2">
      <c r="A1" s="92" t="s">
        <v>281</v>
      </c>
      <c r="B1" s="92" t="s">
        <v>373</v>
      </c>
    </row>
    <row r="2" spans="1:2" x14ac:dyDescent="0.2">
      <c r="A2" s="92" t="s">
        <v>374</v>
      </c>
      <c r="B2" s="92" t="s">
        <v>375</v>
      </c>
    </row>
    <row r="3" spans="1:2" x14ac:dyDescent="0.2">
      <c r="A3" s="92" t="s">
        <v>376</v>
      </c>
      <c r="B3" s="92" t="s">
        <v>377</v>
      </c>
    </row>
    <row r="4" spans="1:2" x14ac:dyDescent="0.2">
      <c r="A4" s="92" t="s">
        <v>378</v>
      </c>
      <c r="B4" s="92" t="s">
        <v>379</v>
      </c>
    </row>
    <row r="5" spans="1:2" x14ac:dyDescent="0.2">
      <c r="A5" s="92" t="s">
        <v>380</v>
      </c>
      <c r="B5" s="92" t="s">
        <v>381</v>
      </c>
    </row>
    <row r="6" spans="1:2" x14ac:dyDescent="0.2">
      <c r="A6" s="92" t="s">
        <v>282</v>
      </c>
      <c r="B6" s="92" t="s">
        <v>283</v>
      </c>
    </row>
    <row r="7" spans="1:2" x14ac:dyDescent="0.2">
      <c r="A7" s="92" t="s">
        <v>170</v>
      </c>
      <c r="B7" s="92" t="s">
        <v>382</v>
      </c>
    </row>
    <row r="8" spans="1:2" x14ac:dyDescent="0.2">
      <c r="A8" s="92" t="s">
        <v>279</v>
      </c>
      <c r="B8" s="92" t="s">
        <v>294</v>
      </c>
    </row>
    <row r="9" spans="1:2" x14ac:dyDescent="0.2">
      <c r="A9" s="92" t="s">
        <v>275</v>
      </c>
      <c r="B9" s="92" t="s">
        <v>285</v>
      </c>
    </row>
    <row r="10" spans="1:2" x14ac:dyDescent="0.2">
      <c r="A10" s="92" t="s">
        <v>349</v>
      </c>
      <c r="B10" s="92" t="s">
        <v>383</v>
      </c>
    </row>
    <row r="11" spans="1:2" x14ac:dyDescent="0.2">
      <c r="A11" s="92" t="s">
        <v>348</v>
      </c>
      <c r="B11" s="92" t="s">
        <v>531</v>
      </c>
    </row>
    <row r="12" spans="1:2" x14ac:dyDescent="0.2">
      <c r="A12" s="92" t="s">
        <v>350</v>
      </c>
      <c r="B12" s="92" t="s">
        <v>385</v>
      </c>
    </row>
    <row r="13" spans="1:2" x14ac:dyDescent="0.2">
      <c r="A13" s="92" t="s">
        <v>532</v>
      </c>
      <c r="B13" s="92" t="s">
        <v>533</v>
      </c>
    </row>
    <row r="14" spans="1:2" x14ac:dyDescent="0.2">
      <c r="A14" s="92" t="s">
        <v>529</v>
      </c>
      <c r="B14" s="92" t="s">
        <v>220</v>
      </c>
    </row>
    <row r="15" spans="1:2" x14ac:dyDescent="0.2">
      <c r="A15" s="92" t="s">
        <v>204</v>
      </c>
      <c r="B15" s="92" t="s">
        <v>219</v>
      </c>
    </row>
    <row r="16" spans="1:2" x14ac:dyDescent="0.2">
      <c r="A16" s="92" t="s">
        <v>286</v>
      </c>
      <c r="B16" s="92" t="s">
        <v>386</v>
      </c>
    </row>
    <row r="17" spans="1:2" x14ac:dyDescent="0.2">
      <c r="A17" s="92" t="s">
        <v>287</v>
      </c>
      <c r="B17" s="92" t="s">
        <v>387</v>
      </c>
    </row>
    <row r="18" spans="1:2" x14ac:dyDescent="0.2">
      <c r="A18" s="92" t="s">
        <v>288</v>
      </c>
      <c r="B18" s="92" t="s">
        <v>388</v>
      </c>
    </row>
    <row r="19" spans="1:2" x14ac:dyDescent="0.2">
      <c r="A19" s="92" t="s">
        <v>389</v>
      </c>
      <c r="B19" s="92" t="s">
        <v>390</v>
      </c>
    </row>
    <row r="20" spans="1:2" x14ac:dyDescent="0.2">
      <c r="A20" s="92" t="s">
        <v>289</v>
      </c>
      <c r="B20" s="92" t="s">
        <v>391</v>
      </c>
    </row>
    <row r="21" spans="1:2" x14ac:dyDescent="0.2">
      <c r="A21" s="92" t="s">
        <v>211</v>
      </c>
      <c r="B21" s="92" t="s">
        <v>290</v>
      </c>
    </row>
    <row r="22" spans="1:2" x14ac:dyDescent="0.2">
      <c r="A22" s="92" t="s">
        <v>392</v>
      </c>
      <c r="B22" s="92" t="s">
        <v>393</v>
      </c>
    </row>
    <row r="23" spans="1:2" x14ac:dyDescent="0.2">
      <c r="A23" s="92" t="s">
        <v>394</v>
      </c>
      <c r="B23" s="92" t="s">
        <v>395</v>
      </c>
    </row>
    <row r="24" spans="1:2" x14ac:dyDescent="0.2">
      <c r="A24" s="92" t="s">
        <v>396</v>
      </c>
      <c r="B24" s="92" t="s">
        <v>397</v>
      </c>
    </row>
    <row r="25" spans="1:2" x14ac:dyDescent="0.2">
      <c r="A25" s="92" t="s">
        <v>398</v>
      </c>
      <c r="B25" s="92" t="s">
        <v>399</v>
      </c>
    </row>
    <row r="26" spans="1:2" x14ac:dyDescent="0.2">
      <c r="A26" s="92" t="s">
        <v>534</v>
      </c>
      <c r="B26" s="92" t="s">
        <v>535</v>
      </c>
    </row>
    <row r="27" spans="1:2" x14ac:dyDescent="0.2">
      <c r="A27" s="92" t="s">
        <v>221</v>
      </c>
      <c r="B27" s="92" t="s">
        <v>222</v>
      </c>
    </row>
    <row r="28" spans="1:2" x14ac:dyDescent="0.2">
      <c r="A28" s="92" t="s">
        <v>370</v>
      </c>
      <c r="B28" s="92" t="s">
        <v>536</v>
      </c>
    </row>
    <row r="29" spans="1:2" x14ac:dyDescent="0.2">
      <c r="A29" s="92" t="s">
        <v>400</v>
      </c>
      <c r="B29" s="92" t="s">
        <v>403</v>
      </c>
    </row>
    <row r="30" spans="1:2" x14ac:dyDescent="0.2">
      <c r="A30" s="92" t="s">
        <v>401</v>
      </c>
      <c r="B30" s="92" t="s">
        <v>536</v>
      </c>
    </row>
    <row r="31" spans="1:2" x14ac:dyDescent="0.2">
      <c r="A31" s="92" t="s">
        <v>52</v>
      </c>
      <c r="B31" s="92" t="s">
        <v>291</v>
      </c>
    </row>
    <row r="32" spans="1:2" x14ac:dyDescent="0.2">
      <c r="A32" s="92" t="s">
        <v>518</v>
      </c>
      <c r="B32" s="92" t="s">
        <v>537</v>
      </c>
    </row>
    <row r="33" spans="1:2" x14ac:dyDescent="0.2">
      <c r="A33" s="92" t="s">
        <v>538</v>
      </c>
      <c r="B33" s="92" t="s">
        <v>539</v>
      </c>
    </row>
    <row r="34" spans="1:2" x14ac:dyDescent="0.2">
      <c r="A34" s="92" t="s">
        <v>540</v>
      </c>
      <c r="B34" s="92" t="s">
        <v>541</v>
      </c>
    </row>
    <row r="35" spans="1:2" x14ac:dyDescent="0.2">
      <c r="A35" s="92" t="s">
        <v>542</v>
      </c>
      <c r="B35" s="92" t="s">
        <v>543</v>
      </c>
    </row>
    <row r="36" spans="1:2" x14ac:dyDescent="0.2">
      <c r="A36" s="92" t="s">
        <v>519</v>
      </c>
      <c r="B36" s="92" t="s">
        <v>520</v>
      </c>
    </row>
    <row r="37" spans="1:2" x14ac:dyDescent="0.2">
      <c r="A37" s="92" t="s">
        <v>402</v>
      </c>
      <c r="B37" s="92" t="s">
        <v>500</v>
      </c>
    </row>
    <row r="38" spans="1:2" x14ac:dyDescent="0.2">
      <c r="A38" s="92" t="s">
        <v>404</v>
      </c>
      <c r="B38" s="92" t="s">
        <v>521</v>
      </c>
    </row>
    <row r="39" spans="1:2" x14ac:dyDescent="0.2">
      <c r="A39" s="92" t="s">
        <v>338</v>
      </c>
      <c r="B39" s="92" t="s">
        <v>564</v>
      </c>
    </row>
    <row r="40" spans="1:2" x14ac:dyDescent="0.2">
      <c r="A40" s="92" t="s">
        <v>517</v>
      </c>
      <c r="B40" s="92" t="s">
        <v>522</v>
      </c>
    </row>
    <row r="41" spans="1:2" x14ac:dyDescent="0.2">
      <c r="A41" s="92" t="s">
        <v>247</v>
      </c>
      <c r="B41" s="92" t="s">
        <v>292</v>
      </c>
    </row>
    <row r="42" spans="1:2" x14ac:dyDescent="0.2">
      <c r="A42" s="92" t="s">
        <v>223</v>
      </c>
      <c r="B42" s="92" t="s">
        <v>406</v>
      </c>
    </row>
    <row r="43" spans="1:2" x14ac:dyDescent="0.2">
      <c r="A43" s="92" t="s">
        <v>224</v>
      </c>
      <c r="B43" s="92" t="s">
        <v>314</v>
      </c>
    </row>
    <row r="44" spans="1:2" x14ac:dyDescent="0.2">
      <c r="A44" s="92" t="s">
        <v>226</v>
      </c>
      <c r="B44" s="92" t="s">
        <v>407</v>
      </c>
    </row>
    <row r="45" spans="1:2" x14ac:dyDescent="0.2">
      <c r="A45" s="92" t="s">
        <v>408</v>
      </c>
      <c r="B45" s="92" t="s">
        <v>409</v>
      </c>
    </row>
    <row r="46" spans="1:2" x14ac:dyDescent="0.2">
      <c r="A46" s="92" t="s">
        <v>160</v>
      </c>
      <c r="B46" s="92" t="s">
        <v>410</v>
      </c>
    </row>
    <row r="47" spans="1:2" x14ac:dyDescent="0.2">
      <c r="A47" s="92" t="s">
        <v>411</v>
      </c>
      <c r="B47" s="92" t="s">
        <v>412</v>
      </c>
    </row>
    <row r="48" spans="1:2" x14ac:dyDescent="0.2">
      <c r="A48" s="92" t="s">
        <v>413</v>
      </c>
      <c r="B48" s="92" t="s">
        <v>241</v>
      </c>
    </row>
    <row r="49" spans="1:2" x14ac:dyDescent="0.2">
      <c r="A49" s="92" t="s">
        <v>414</v>
      </c>
      <c r="B49" s="92" t="s">
        <v>415</v>
      </c>
    </row>
    <row r="50" spans="1:2" x14ac:dyDescent="0.2">
      <c r="A50" s="92" t="s">
        <v>416</v>
      </c>
      <c r="B50" s="92" t="s">
        <v>417</v>
      </c>
    </row>
    <row r="51" spans="1:2" x14ac:dyDescent="0.2">
      <c r="A51" s="92" t="s">
        <v>53</v>
      </c>
      <c r="B51" s="92" t="s">
        <v>293</v>
      </c>
    </row>
    <row r="52" spans="1:2" x14ac:dyDescent="0.2">
      <c r="A52" s="92" t="s">
        <v>418</v>
      </c>
      <c r="B52" s="92" t="s">
        <v>419</v>
      </c>
    </row>
    <row r="53" spans="1:2" x14ac:dyDescent="0.2">
      <c r="A53" s="92" t="s">
        <v>420</v>
      </c>
      <c r="B53" s="92" t="s">
        <v>218</v>
      </c>
    </row>
    <row r="54" spans="1:2" x14ac:dyDescent="0.2">
      <c r="A54" s="92" t="s">
        <v>421</v>
      </c>
      <c r="B54" s="92" t="s">
        <v>422</v>
      </c>
    </row>
    <row r="55" spans="1:2" x14ac:dyDescent="0.2">
      <c r="A55" s="92" t="s">
        <v>423</v>
      </c>
      <c r="B55" s="92" t="s">
        <v>424</v>
      </c>
    </row>
    <row r="56" spans="1:2" x14ac:dyDescent="0.2">
      <c r="A56" s="92" t="s">
        <v>425</v>
      </c>
      <c r="B56" s="92" t="s">
        <v>565</v>
      </c>
    </row>
    <row r="57" spans="1:2" x14ac:dyDescent="0.2">
      <c r="A57" s="92" t="s">
        <v>203</v>
      </c>
      <c r="B57" s="92" t="s">
        <v>228</v>
      </c>
    </row>
    <row r="58" spans="1:2" x14ac:dyDescent="0.2">
      <c r="A58" s="92" t="s">
        <v>544</v>
      </c>
      <c r="B58" s="92" t="s">
        <v>545</v>
      </c>
    </row>
    <row r="59" spans="1:2" x14ac:dyDescent="0.2">
      <c r="A59" s="92" t="s">
        <v>427</v>
      </c>
      <c r="B59" s="92" t="s">
        <v>428</v>
      </c>
    </row>
    <row r="60" spans="1:2" x14ac:dyDescent="0.2">
      <c r="A60" s="92" t="s">
        <v>429</v>
      </c>
      <c r="B60" s="92" t="s">
        <v>315</v>
      </c>
    </row>
    <row r="61" spans="1:2" x14ac:dyDescent="0.2">
      <c r="A61" s="92" t="s">
        <v>430</v>
      </c>
      <c r="B61" s="92" t="s">
        <v>431</v>
      </c>
    </row>
    <row r="62" spans="1:2" x14ac:dyDescent="0.2">
      <c r="A62" s="92" t="s">
        <v>432</v>
      </c>
      <c r="B62" s="92" t="s">
        <v>433</v>
      </c>
    </row>
    <row r="63" spans="1:2" x14ac:dyDescent="0.2">
      <c r="A63" s="92" t="s">
        <v>434</v>
      </c>
      <c r="B63" s="92" t="s">
        <v>426</v>
      </c>
    </row>
    <row r="64" spans="1:2" x14ac:dyDescent="0.2">
      <c r="A64" s="92" t="s">
        <v>336</v>
      </c>
      <c r="B64" s="92" t="s">
        <v>435</v>
      </c>
    </row>
    <row r="65" spans="1:2" x14ac:dyDescent="0.2">
      <c r="A65" s="92" t="s">
        <v>330</v>
      </c>
      <c r="B65" s="92" t="s">
        <v>436</v>
      </c>
    </row>
    <row r="66" spans="1:2" x14ac:dyDescent="0.2">
      <c r="A66" s="92" t="s">
        <v>229</v>
      </c>
      <c r="B66" s="92" t="s">
        <v>230</v>
      </c>
    </row>
    <row r="67" spans="1:2" x14ac:dyDescent="0.2">
      <c r="A67" s="92" t="s">
        <v>437</v>
      </c>
      <c r="B67" s="92" t="s">
        <v>308</v>
      </c>
    </row>
    <row r="68" spans="1:2" x14ac:dyDescent="0.2">
      <c r="A68" s="92" t="s">
        <v>438</v>
      </c>
      <c r="B68" s="92" t="s">
        <v>445</v>
      </c>
    </row>
    <row r="69" spans="1:2" x14ac:dyDescent="0.2">
      <c r="A69" s="92" t="s">
        <v>440</v>
      </c>
      <c r="B69" s="92" t="s">
        <v>439</v>
      </c>
    </row>
    <row r="70" spans="1:2" x14ac:dyDescent="0.2">
      <c r="A70" s="92" t="s">
        <v>442</v>
      </c>
      <c r="B70" s="92" t="s">
        <v>441</v>
      </c>
    </row>
    <row r="71" spans="1:2" x14ac:dyDescent="0.2">
      <c r="A71" s="92" t="s">
        <v>444</v>
      </c>
      <c r="B71" s="92" t="s">
        <v>546</v>
      </c>
    </row>
    <row r="72" spans="1:2" x14ac:dyDescent="0.2">
      <c r="A72" s="92" t="s">
        <v>335</v>
      </c>
      <c r="B72" s="92" t="s">
        <v>446</v>
      </c>
    </row>
    <row r="73" spans="1:2" x14ac:dyDescent="0.2">
      <c r="A73" s="92" t="s">
        <v>295</v>
      </c>
      <c r="B73" s="92" t="s">
        <v>301</v>
      </c>
    </row>
    <row r="74" spans="1:2" x14ac:dyDescent="0.2">
      <c r="A74" s="92" t="s">
        <v>297</v>
      </c>
      <c r="B74" s="92" t="s">
        <v>298</v>
      </c>
    </row>
    <row r="75" spans="1:2" x14ac:dyDescent="0.2">
      <c r="A75" s="92" t="s">
        <v>161</v>
      </c>
      <c r="B75" s="92" t="s">
        <v>547</v>
      </c>
    </row>
    <row r="76" spans="1:2" x14ac:dyDescent="0.2">
      <c r="A76" s="92" t="s">
        <v>180</v>
      </c>
      <c r="B76" s="92" t="s">
        <v>548</v>
      </c>
    </row>
    <row r="77" spans="1:2" x14ac:dyDescent="0.2">
      <c r="A77" s="92" t="s">
        <v>448</v>
      </c>
      <c r="B77" s="92" t="s">
        <v>449</v>
      </c>
    </row>
    <row r="78" spans="1:2" x14ac:dyDescent="0.2">
      <c r="A78" s="92" t="s">
        <v>450</v>
      </c>
      <c r="B78" s="92" t="s">
        <v>451</v>
      </c>
    </row>
    <row r="79" spans="1:2" x14ac:dyDescent="0.2">
      <c r="A79" s="92" t="s">
        <v>453</v>
      </c>
      <c r="B79" s="92" t="s">
        <v>459</v>
      </c>
    </row>
    <row r="80" spans="1:2" x14ac:dyDescent="0.2">
      <c r="A80" s="92" t="s">
        <v>455</v>
      </c>
      <c r="B80" s="92" t="s">
        <v>454</v>
      </c>
    </row>
    <row r="81" spans="1:2" x14ac:dyDescent="0.2">
      <c r="A81" s="92" t="s">
        <v>457</v>
      </c>
      <c r="B81" s="92" t="s">
        <v>456</v>
      </c>
    </row>
    <row r="82" spans="1:2" x14ac:dyDescent="0.2">
      <c r="A82" s="92" t="s">
        <v>458</v>
      </c>
      <c r="B82" s="92" t="s">
        <v>443</v>
      </c>
    </row>
    <row r="83" spans="1:2" x14ac:dyDescent="0.2">
      <c r="A83" s="92" t="s">
        <v>460</v>
      </c>
      <c r="B83" s="92" t="s">
        <v>461</v>
      </c>
    </row>
    <row r="84" spans="1:2" x14ac:dyDescent="0.2">
      <c r="A84" s="92" t="s">
        <v>190</v>
      </c>
      <c r="B84" s="92" t="s">
        <v>549</v>
      </c>
    </row>
    <row r="85" spans="1:2" x14ac:dyDescent="0.2">
      <c r="A85" s="92" t="s">
        <v>463</v>
      </c>
      <c r="B85" s="92" t="s">
        <v>464</v>
      </c>
    </row>
    <row r="86" spans="1:2" x14ac:dyDescent="0.2">
      <c r="A86" s="92" t="s">
        <v>465</v>
      </c>
      <c r="B86" s="92" t="s">
        <v>466</v>
      </c>
    </row>
    <row r="87" spans="1:2" x14ac:dyDescent="0.2">
      <c r="A87" s="92" t="s">
        <v>467</v>
      </c>
      <c r="B87" s="92" t="s">
        <v>468</v>
      </c>
    </row>
    <row r="88" spans="1:2" x14ac:dyDescent="0.2">
      <c r="A88" s="92" t="s">
        <v>469</v>
      </c>
      <c r="B88" s="92" t="s">
        <v>470</v>
      </c>
    </row>
    <row r="89" spans="1:2" x14ac:dyDescent="0.2">
      <c r="A89" s="92" t="s">
        <v>471</v>
      </c>
      <c r="B89" s="92" t="s">
        <v>472</v>
      </c>
    </row>
    <row r="90" spans="1:2" x14ac:dyDescent="0.2">
      <c r="A90" s="92" t="s">
        <v>473</v>
      </c>
      <c r="B90" s="92" t="s">
        <v>474</v>
      </c>
    </row>
    <row r="91" spans="1:2" x14ac:dyDescent="0.2">
      <c r="A91" s="92" t="s">
        <v>475</v>
      </c>
      <c r="B91" s="92" t="s">
        <v>476</v>
      </c>
    </row>
    <row r="92" spans="1:2" x14ac:dyDescent="0.2">
      <c r="A92" s="92" t="s">
        <v>477</v>
      </c>
      <c r="B92" s="92" t="s">
        <v>299</v>
      </c>
    </row>
    <row r="93" spans="1:2" x14ac:dyDescent="0.2">
      <c r="A93" s="92" t="s">
        <v>42</v>
      </c>
      <c r="B93" s="92" t="s">
        <v>566</v>
      </c>
    </row>
    <row r="94" spans="1:2" x14ac:dyDescent="0.2">
      <c r="A94" s="92" t="s">
        <v>300</v>
      </c>
      <c r="B94" s="92" t="s">
        <v>478</v>
      </c>
    </row>
    <row r="95" spans="1:2" x14ac:dyDescent="0.2">
      <c r="A95" s="92" t="s">
        <v>256</v>
      </c>
      <c r="B95" s="92" t="s">
        <v>479</v>
      </c>
    </row>
    <row r="96" spans="1:2" x14ac:dyDescent="0.2">
      <c r="A96" s="92" t="s">
        <v>236</v>
      </c>
      <c r="B96" s="92" t="s">
        <v>480</v>
      </c>
    </row>
    <row r="97" spans="1:2" x14ac:dyDescent="0.2">
      <c r="A97" s="92" t="s">
        <v>237</v>
      </c>
      <c r="B97" s="92" t="s">
        <v>481</v>
      </c>
    </row>
    <row r="98" spans="1:2" x14ac:dyDescent="0.2">
      <c r="A98" s="92" t="s">
        <v>550</v>
      </c>
      <c r="B98" s="92" t="s">
        <v>551</v>
      </c>
    </row>
    <row r="99" spans="1:2" x14ac:dyDescent="0.2">
      <c r="A99" s="92" t="s">
        <v>208</v>
      </c>
      <c r="B99" s="92" t="s">
        <v>482</v>
      </c>
    </row>
    <row r="100" spans="1:2" x14ac:dyDescent="0.2">
      <c r="A100" s="92" t="s">
        <v>483</v>
      </c>
      <c r="B100" s="92" t="s">
        <v>484</v>
      </c>
    </row>
    <row r="101" spans="1:2" x14ac:dyDescent="0.2">
      <c r="A101" s="92" t="s">
        <v>485</v>
      </c>
      <c r="B101" s="92" t="s">
        <v>235</v>
      </c>
    </row>
    <row r="102" spans="1:2" x14ac:dyDescent="0.2">
      <c r="A102" s="92" t="s">
        <v>486</v>
      </c>
      <c r="B102" s="92" t="s">
        <v>487</v>
      </c>
    </row>
    <row r="103" spans="1:2" x14ac:dyDescent="0.2">
      <c r="A103" s="92" t="s">
        <v>488</v>
      </c>
      <c r="B103" s="92" t="s">
        <v>489</v>
      </c>
    </row>
    <row r="104" spans="1:2" x14ac:dyDescent="0.2">
      <c r="A104" s="92" t="s">
        <v>341</v>
      </c>
      <c r="B104" s="92" t="s">
        <v>405</v>
      </c>
    </row>
    <row r="105" spans="1:2" x14ac:dyDescent="0.2">
      <c r="A105" s="92" t="s">
        <v>339</v>
      </c>
      <c r="B105" s="92" t="s">
        <v>490</v>
      </c>
    </row>
    <row r="106" spans="1:2" x14ac:dyDescent="0.2">
      <c r="A106" s="92" t="s">
        <v>492</v>
      </c>
      <c r="B106" s="92" t="s">
        <v>491</v>
      </c>
    </row>
    <row r="107" spans="1:2" x14ac:dyDescent="0.2">
      <c r="A107" s="92" t="s">
        <v>238</v>
      </c>
      <c r="B107" s="92" t="s">
        <v>494</v>
      </c>
    </row>
    <row r="108" spans="1:2" x14ac:dyDescent="0.2">
      <c r="A108" s="92" t="s">
        <v>495</v>
      </c>
      <c r="B108" s="92" t="s">
        <v>496</v>
      </c>
    </row>
    <row r="109" spans="1:2" x14ac:dyDescent="0.2">
      <c r="A109" s="92" t="s">
        <v>278</v>
      </c>
      <c r="B109" s="92" t="s">
        <v>284</v>
      </c>
    </row>
    <row r="110" spans="1:2" x14ac:dyDescent="0.2">
      <c r="A110" s="92" t="s">
        <v>274</v>
      </c>
      <c r="B110" s="92" t="s">
        <v>302</v>
      </c>
    </row>
    <row r="111" spans="1:2" x14ac:dyDescent="0.2">
      <c r="A111" s="92" t="s">
        <v>530</v>
      </c>
      <c r="B111" s="92" t="s">
        <v>452</v>
      </c>
    </row>
    <row r="112" spans="1:2" x14ac:dyDescent="0.2">
      <c r="A112" s="92" t="s">
        <v>552</v>
      </c>
      <c r="B112" s="92" t="s">
        <v>553</v>
      </c>
    </row>
    <row r="113" spans="1:2" x14ac:dyDescent="0.2">
      <c r="A113" s="92" t="s">
        <v>497</v>
      </c>
      <c r="B113" s="92" t="s">
        <v>502</v>
      </c>
    </row>
    <row r="114" spans="1:2" x14ac:dyDescent="0.2">
      <c r="A114" s="92" t="s">
        <v>280</v>
      </c>
      <c r="B114" s="92" t="s">
        <v>303</v>
      </c>
    </row>
    <row r="115" spans="1:2" x14ac:dyDescent="0.2">
      <c r="A115" s="92" t="s">
        <v>304</v>
      </c>
      <c r="B115" s="92" t="s">
        <v>305</v>
      </c>
    </row>
    <row r="116" spans="1:2" x14ac:dyDescent="0.2">
      <c r="A116" s="92" t="s">
        <v>306</v>
      </c>
      <c r="B116" s="92" t="s">
        <v>498</v>
      </c>
    </row>
    <row r="117" spans="1:2" x14ac:dyDescent="0.2">
      <c r="A117" s="92" t="s">
        <v>353</v>
      </c>
      <c r="B117" s="92" t="s">
        <v>499</v>
      </c>
    </row>
    <row r="118" spans="1:2" x14ac:dyDescent="0.2">
      <c r="A118" s="92" t="s">
        <v>307</v>
      </c>
      <c r="B118" s="92" t="s">
        <v>328</v>
      </c>
    </row>
    <row r="119" spans="1:2" x14ac:dyDescent="0.2">
      <c r="A119" s="92" t="s">
        <v>309</v>
      </c>
      <c r="B119" s="92" t="s">
        <v>310</v>
      </c>
    </row>
    <row r="120" spans="1:2" x14ac:dyDescent="0.2">
      <c r="A120" s="92" t="s">
        <v>239</v>
      </c>
      <c r="B120" s="92" t="s">
        <v>447</v>
      </c>
    </row>
    <row r="121" spans="1:2" x14ac:dyDescent="0.2">
      <c r="A121" s="92" t="s">
        <v>351</v>
      </c>
      <c r="B121" s="92" t="s">
        <v>311</v>
      </c>
    </row>
    <row r="122" spans="1:2" x14ac:dyDescent="0.2">
      <c r="A122" s="92" t="s">
        <v>364</v>
      </c>
      <c r="B122" s="92" t="s">
        <v>501</v>
      </c>
    </row>
    <row r="123" spans="1:2" x14ac:dyDescent="0.2">
      <c r="A123" s="92" t="s">
        <v>359</v>
      </c>
      <c r="B123" s="92" t="s">
        <v>567</v>
      </c>
    </row>
    <row r="124" spans="1:2" x14ac:dyDescent="0.2">
      <c r="A124" s="92" t="s">
        <v>554</v>
      </c>
      <c r="B124" s="92" t="s">
        <v>384</v>
      </c>
    </row>
    <row r="125" spans="1:2" x14ac:dyDescent="0.2">
      <c r="A125" s="92" t="s">
        <v>555</v>
      </c>
      <c r="B125" s="92" t="s">
        <v>556</v>
      </c>
    </row>
    <row r="126" spans="1:2" x14ac:dyDescent="0.2">
      <c r="A126" s="92" t="s">
        <v>252</v>
      </c>
      <c r="B126" s="92" t="s">
        <v>312</v>
      </c>
    </row>
    <row r="127" spans="1:2" x14ac:dyDescent="0.2">
      <c r="A127" s="92" t="s">
        <v>557</v>
      </c>
      <c r="B127" s="92" t="s">
        <v>558</v>
      </c>
    </row>
    <row r="128" spans="1:2" x14ac:dyDescent="0.2">
      <c r="A128" s="92" t="s">
        <v>503</v>
      </c>
      <c r="B128" s="92" t="s">
        <v>504</v>
      </c>
    </row>
    <row r="129" spans="1:2" x14ac:dyDescent="0.2">
      <c r="A129" s="92" t="s">
        <v>505</v>
      </c>
      <c r="B129" s="92" t="s">
        <v>240</v>
      </c>
    </row>
    <row r="130" spans="1:2" x14ac:dyDescent="0.2">
      <c r="A130" s="92" t="s">
        <v>506</v>
      </c>
      <c r="B130" s="92" t="s">
        <v>507</v>
      </c>
    </row>
    <row r="131" spans="1:2" x14ac:dyDescent="0.2">
      <c r="A131" s="92" t="s">
        <v>508</v>
      </c>
      <c r="B131" s="92" t="s">
        <v>509</v>
      </c>
    </row>
    <row r="132" spans="1:2" x14ac:dyDescent="0.2">
      <c r="A132" s="92" t="s">
        <v>559</v>
      </c>
      <c r="B132" s="92" t="s">
        <v>560</v>
      </c>
    </row>
    <row r="133" spans="1:2" x14ac:dyDescent="0.2">
      <c r="A133" s="92" t="s">
        <v>510</v>
      </c>
      <c r="B133" s="92" t="s">
        <v>511</v>
      </c>
    </row>
    <row r="134" spans="1:2" x14ac:dyDescent="0.2">
      <c r="A134" s="92" t="s">
        <v>512</v>
      </c>
      <c r="B134" s="92" t="s">
        <v>227</v>
      </c>
    </row>
    <row r="135" spans="1:2" x14ac:dyDescent="0.2">
      <c r="A135" s="92" t="s">
        <v>513</v>
      </c>
      <c r="B135" s="92" t="s">
        <v>514</v>
      </c>
    </row>
    <row r="136" spans="1:2" x14ac:dyDescent="0.2">
      <c r="A136" s="92" t="s">
        <v>515</v>
      </c>
      <c r="B136" s="92" t="s">
        <v>516</v>
      </c>
    </row>
    <row r="137" spans="1:2" x14ac:dyDescent="0.2">
      <c r="A137" s="92" t="s">
        <v>0</v>
      </c>
      <c r="B137" s="92" t="s">
        <v>447</v>
      </c>
    </row>
    <row r="138" spans="1:2" x14ac:dyDescent="0.2">
      <c r="A138" s="92" t="s">
        <v>1</v>
      </c>
      <c r="B138" s="92" t="s">
        <v>447</v>
      </c>
    </row>
    <row r="139" spans="1:2" x14ac:dyDescent="0.2">
      <c r="A139" s="92" t="s">
        <v>2</v>
      </c>
      <c r="B139" s="92" t="s">
        <v>447</v>
      </c>
    </row>
    <row r="140" spans="1:2" x14ac:dyDescent="0.2">
      <c r="A140" s="92" t="s">
        <v>3</v>
      </c>
      <c r="B140" s="92" t="s">
        <v>447</v>
      </c>
    </row>
    <row r="141" spans="1:2" x14ac:dyDescent="0.2">
      <c r="A141" s="92" t="s">
        <v>4</v>
      </c>
      <c r="B141" s="92" t="s">
        <v>5</v>
      </c>
    </row>
    <row r="142" spans="1:2" x14ac:dyDescent="0.2">
      <c r="A142" s="92" t="s">
        <v>6</v>
      </c>
      <c r="B142" s="92" t="s">
        <v>242</v>
      </c>
    </row>
    <row r="143" spans="1:2" x14ac:dyDescent="0.2">
      <c r="A143" s="92" t="s">
        <v>7</v>
      </c>
      <c r="B143" s="92" t="s">
        <v>8</v>
      </c>
    </row>
    <row r="144" spans="1:2" x14ac:dyDescent="0.2">
      <c r="A144" s="92" t="s">
        <v>9</v>
      </c>
      <c r="B144" s="92" t="s">
        <v>10</v>
      </c>
    </row>
    <row r="145" spans="1:2" x14ac:dyDescent="0.2">
      <c r="A145" s="92" t="s">
        <v>316</v>
      </c>
      <c r="B145" s="92" t="s">
        <v>11</v>
      </c>
    </row>
    <row r="146" spans="1:2" x14ac:dyDescent="0.2">
      <c r="A146" s="92" t="s">
        <v>251</v>
      </c>
      <c r="B146" s="92" t="s">
        <v>561</v>
      </c>
    </row>
    <row r="147" spans="1:2" x14ac:dyDescent="0.2">
      <c r="A147" s="92" t="s">
        <v>257</v>
      </c>
      <c r="B147" s="92" t="s">
        <v>12</v>
      </c>
    </row>
    <row r="148" spans="1:2" x14ac:dyDescent="0.2">
      <c r="A148" s="92" t="s">
        <v>250</v>
      </c>
      <c r="B148" s="92" t="s">
        <v>13</v>
      </c>
    </row>
    <row r="149" spans="1:2" x14ac:dyDescent="0.2">
      <c r="A149" s="92" t="s">
        <v>317</v>
      </c>
      <c r="B149" s="92" t="s">
        <v>14</v>
      </c>
    </row>
    <row r="150" spans="1:2" x14ac:dyDescent="0.2">
      <c r="A150" s="92" t="s">
        <v>319</v>
      </c>
      <c r="B150" s="92" t="s">
        <v>324</v>
      </c>
    </row>
    <row r="151" spans="1:2" x14ac:dyDescent="0.2">
      <c r="A151" s="92" t="s">
        <v>243</v>
      </c>
      <c r="B151" s="92" t="s">
        <v>15</v>
      </c>
    </row>
    <row r="152" spans="1:2" x14ac:dyDescent="0.2">
      <c r="A152" s="92" t="s">
        <v>16</v>
      </c>
      <c r="B152" s="92" t="s">
        <v>225</v>
      </c>
    </row>
    <row r="153" spans="1:2" x14ac:dyDescent="0.2">
      <c r="A153" s="92" t="s">
        <v>17</v>
      </c>
      <c r="B153" s="92" t="s">
        <v>18</v>
      </c>
    </row>
    <row r="154" spans="1:2" x14ac:dyDescent="0.2">
      <c r="A154" s="92" t="s">
        <v>19</v>
      </c>
      <c r="B154" s="92" t="s">
        <v>20</v>
      </c>
    </row>
    <row r="155" spans="1:2" x14ac:dyDescent="0.2">
      <c r="A155" s="92" t="s">
        <v>259</v>
      </c>
      <c r="B155" s="92" t="s">
        <v>318</v>
      </c>
    </row>
    <row r="156" spans="1:2" x14ac:dyDescent="0.2">
      <c r="A156" s="92" t="s">
        <v>321</v>
      </c>
      <c r="B156" s="92" t="s">
        <v>21</v>
      </c>
    </row>
    <row r="157" spans="1:2" x14ac:dyDescent="0.2">
      <c r="A157" s="92" t="s">
        <v>22</v>
      </c>
      <c r="B157" s="92" t="s">
        <v>296</v>
      </c>
    </row>
    <row r="158" spans="1:2" x14ac:dyDescent="0.2">
      <c r="A158" s="92" t="s">
        <v>260</v>
      </c>
      <c r="B158" s="92" t="s">
        <v>326</v>
      </c>
    </row>
    <row r="159" spans="1:2" x14ac:dyDescent="0.2">
      <c r="A159" s="92" t="s">
        <v>261</v>
      </c>
      <c r="B159" s="92" t="s">
        <v>320</v>
      </c>
    </row>
    <row r="160" spans="1:2" x14ac:dyDescent="0.2">
      <c r="A160" s="92" t="s">
        <v>325</v>
      </c>
      <c r="B160" s="92" t="s">
        <v>323</v>
      </c>
    </row>
    <row r="161" spans="1:2" x14ac:dyDescent="0.2">
      <c r="A161" s="92" t="s">
        <v>258</v>
      </c>
      <c r="B161" s="92" t="s">
        <v>322</v>
      </c>
    </row>
    <row r="162" spans="1:2" x14ac:dyDescent="0.2">
      <c r="A162" s="92" t="s">
        <v>255</v>
      </c>
      <c r="B162" s="92" t="s">
        <v>23</v>
      </c>
    </row>
    <row r="163" spans="1:2" x14ac:dyDescent="0.2">
      <c r="A163" s="92" t="s">
        <v>254</v>
      </c>
      <c r="B163" s="92" t="s">
        <v>24</v>
      </c>
    </row>
    <row r="164" spans="1:2" x14ac:dyDescent="0.2">
      <c r="A164" s="92" t="s">
        <v>340</v>
      </c>
      <c r="B164" s="92" t="s">
        <v>493</v>
      </c>
    </row>
    <row r="165" spans="1:2" x14ac:dyDescent="0.2">
      <c r="A165" s="92" t="s">
        <v>253</v>
      </c>
      <c r="B165" s="92" t="s">
        <v>25</v>
      </c>
    </row>
    <row r="166" spans="1:2" x14ac:dyDescent="0.2">
      <c r="A166" s="92" t="s">
        <v>245</v>
      </c>
      <c r="B166" s="92" t="s">
        <v>26</v>
      </c>
    </row>
    <row r="167" spans="1:2" x14ac:dyDescent="0.2">
      <c r="A167" s="92" t="s">
        <v>352</v>
      </c>
      <c r="B167" s="92" t="s">
        <v>27</v>
      </c>
    </row>
    <row r="168" spans="1:2" x14ac:dyDescent="0.2">
      <c r="A168" s="92" t="s">
        <v>327</v>
      </c>
      <c r="B168" s="92" t="s">
        <v>313</v>
      </c>
    </row>
    <row r="169" spans="1:2" x14ac:dyDescent="0.2">
      <c r="A169" s="92" t="s">
        <v>329</v>
      </c>
      <c r="B169" s="92" t="s">
        <v>28</v>
      </c>
    </row>
    <row r="170" spans="1:2" x14ac:dyDescent="0.2">
      <c r="A170" s="92" t="s">
        <v>562</v>
      </c>
      <c r="B170" s="92" t="s">
        <v>563</v>
      </c>
    </row>
    <row r="171" spans="1:2" x14ac:dyDescent="0.2">
      <c r="A171" s="92" t="s">
        <v>30</v>
      </c>
      <c r="B171" s="92" t="s">
        <v>31</v>
      </c>
    </row>
    <row r="172" spans="1:2" x14ac:dyDescent="0.2">
      <c r="A172" s="92" t="s">
        <v>32</v>
      </c>
      <c r="B172" s="92" t="s">
        <v>244</v>
      </c>
    </row>
    <row r="173" spans="1:2" x14ac:dyDescent="0.2">
      <c r="A173" s="92" t="s">
        <v>33</v>
      </c>
      <c r="B173" s="92" t="s">
        <v>34</v>
      </c>
    </row>
    <row r="174" spans="1:2" x14ac:dyDescent="0.2">
      <c r="A174" s="92" t="s">
        <v>523</v>
      </c>
      <c r="B174" s="92" t="s">
        <v>29</v>
      </c>
    </row>
  </sheetData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1"/>
  <dimension ref="A1:E195"/>
  <sheetViews>
    <sheetView workbookViewId="0">
      <selection activeCell="C195" sqref="C195"/>
    </sheetView>
  </sheetViews>
  <sheetFormatPr baseColWidth="10" defaultRowHeight="12.75" x14ac:dyDescent="0.2"/>
  <cols>
    <col min="1" max="1" width="26.7109375" customWidth="1"/>
    <col min="2" max="2" width="32.5703125" customWidth="1"/>
  </cols>
  <sheetData>
    <row r="1" spans="1:2" x14ac:dyDescent="0.2">
      <c r="A1" t="s">
        <v>281</v>
      </c>
      <c r="B1" t="s">
        <v>373</v>
      </c>
    </row>
    <row r="2" spans="1:2" x14ac:dyDescent="0.2">
      <c r="A2" t="s">
        <v>374</v>
      </c>
      <c r="B2" t="s">
        <v>375</v>
      </c>
    </row>
    <row r="3" spans="1:2" x14ac:dyDescent="0.2">
      <c r="A3" t="s">
        <v>376</v>
      </c>
      <c r="B3" t="s">
        <v>377</v>
      </c>
    </row>
    <row r="4" spans="1:2" x14ac:dyDescent="0.2">
      <c r="A4" t="s">
        <v>378</v>
      </c>
      <c r="B4" t="s">
        <v>379</v>
      </c>
    </row>
    <row r="5" spans="1:2" x14ac:dyDescent="0.2">
      <c r="A5" t="s">
        <v>380</v>
      </c>
      <c r="B5" t="s">
        <v>381</v>
      </c>
    </row>
    <row r="6" spans="1:2" x14ac:dyDescent="0.2">
      <c r="A6" t="s">
        <v>282</v>
      </c>
      <c r="B6" t="s">
        <v>283</v>
      </c>
    </row>
    <row r="7" spans="1:2" x14ac:dyDescent="0.2">
      <c r="A7" t="s">
        <v>170</v>
      </c>
      <c r="B7" t="s">
        <v>382</v>
      </c>
    </row>
    <row r="8" spans="1:2" x14ac:dyDescent="0.2">
      <c r="A8" t="s">
        <v>279</v>
      </c>
      <c r="B8" t="s">
        <v>294</v>
      </c>
    </row>
    <row r="9" spans="1:2" x14ac:dyDescent="0.2">
      <c r="A9" t="s">
        <v>275</v>
      </c>
      <c r="B9" t="s">
        <v>615</v>
      </c>
    </row>
    <row r="10" spans="1:2" x14ac:dyDescent="0.2">
      <c r="A10" t="s">
        <v>592</v>
      </c>
      <c r="B10" t="s">
        <v>616</v>
      </c>
    </row>
    <row r="11" spans="1:2" x14ac:dyDescent="0.2">
      <c r="A11" t="s">
        <v>349</v>
      </c>
      <c r="B11" t="s">
        <v>383</v>
      </c>
    </row>
    <row r="12" spans="1:2" x14ac:dyDescent="0.2">
      <c r="A12" t="s">
        <v>348</v>
      </c>
      <c r="B12" t="s">
        <v>531</v>
      </c>
    </row>
    <row r="13" spans="1:2" x14ac:dyDescent="0.2">
      <c r="A13" t="s">
        <v>350</v>
      </c>
      <c r="B13" t="s">
        <v>385</v>
      </c>
    </row>
    <row r="14" spans="1:2" x14ac:dyDescent="0.2">
      <c r="A14" t="s">
        <v>532</v>
      </c>
      <c r="B14" t="s">
        <v>533</v>
      </c>
    </row>
    <row r="15" spans="1:2" x14ac:dyDescent="0.2">
      <c r="A15" t="s">
        <v>529</v>
      </c>
      <c r="B15" t="s">
        <v>219</v>
      </c>
    </row>
    <row r="16" spans="1:2" x14ac:dyDescent="0.2">
      <c r="A16" t="s">
        <v>204</v>
      </c>
      <c r="B16" t="s">
        <v>228</v>
      </c>
    </row>
    <row r="17" spans="1:2" x14ac:dyDescent="0.2">
      <c r="A17" t="s">
        <v>286</v>
      </c>
      <c r="B17" t="s">
        <v>386</v>
      </c>
    </row>
    <row r="18" spans="1:2" x14ac:dyDescent="0.2">
      <c r="A18" t="s">
        <v>287</v>
      </c>
      <c r="B18" t="s">
        <v>387</v>
      </c>
    </row>
    <row r="19" spans="1:2" x14ac:dyDescent="0.2">
      <c r="A19" t="s">
        <v>288</v>
      </c>
      <c r="B19" t="s">
        <v>388</v>
      </c>
    </row>
    <row r="20" spans="1:2" x14ac:dyDescent="0.2">
      <c r="A20" t="s">
        <v>389</v>
      </c>
      <c r="B20" t="s">
        <v>390</v>
      </c>
    </row>
    <row r="21" spans="1:2" x14ac:dyDescent="0.2">
      <c r="A21" t="s">
        <v>289</v>
      </c>
      <c r="B21" t="s">
        <v>391</v>
      </c>
    </row>
    <row r="22" spans="1:2" x14ac:dyDescent="0.2">
      <c r="A22" t="s">
        <v>211</v>
      </c>
      <c r="B22" t="s">
        <v>290</v>
      </c>
    </row>
    <row r="23" spans="1:2" x14ac:dyDescent="0.2">
      <c r="A23" t="s">
        <v>392</v>
      </c>
      <c r="B23" t="s">
        <v>393</v>
      </c>
    </row>
    <row r="24" spans="1:2" x14ac:dyDescent="0.2">
      <c r="A24" t="s">
        <v>394</v>
      </c>
      <c r="B24" t="s">
        <v>395</v>
      </c>
    </row>
    <row r="25" spans="1:2" x14ac:dyDescent="0.2">
      <c r="A25" t="s">
        <v>396</v>
      </c>
      <c r="B25" t="s">
        <v>397</v>
      </c>
    </row>
    <row r="26" spans="1:2" x14ac:dyDescent="0.2">
      <c r="A26" t="s">
        <v>398</v>
      </c>
      <c r="B26" t="s">
        <v>399</v>
      </c>
    </row>
    <row r="27" spans="1:2" x14ac:dyDescent="0.2">
      <c r="A27" t="s">
        <v>534</v>
      </c>
      <c r="B27" t="s">
        <v>535</v>
      </c>
    </row>
    <row r="28" spans="1:2" x14ac:dyDescent="0.2">
      <c r="A28" t="s">
        <v>221</v>
      </c>
      <c r="B28" t="s">
        <v>222</v>
      </c>
    </row>
    <row r="29" spans="1:2" x14ac:dyDescent="0.2">
      <c r="A29" t="s">
        <v>370</v>
      </c>
      <c r="B29" t="s">
        <v>536</v>
      </c>
    </row>
    <row r="30" spans="1:2" x14ac:dyDescent="0.2">
      <c r="A30" t="s">
        <v>400</v>
      </c>
      <c r="B30" t="s">
        <v>403</v>
      </c>
    </row>
    <row r="31" spans="1:2" x14ac:dyDescent="0.2">
      <c r="A31" t="s">
        <v>401</v>
      </c>
      <c r="B31" t="s">
        <v>536</v>
      </c>
    </row>
    <row r="32" spans="1:2" x14ac:dyDescent="0.2">
      <c r="A32" t="s">
        <v>52</v>
      </c>
      <c r="B32" t="s">
        <v>291</v>
      </c>
    </row>
    <row r="33" spans="1:2" x14ac:dyDescent="0.2">
      <c r="A33" t="s">
        <v>518</v>
      </c>
      <c r="B33" t="s">
        <v>617</v>
      </c>
    </row>
    <row r="34" spans="1:2" x14ac:dyDescent="0.2">
      <c r="A34" t="s">
        <v>538</v>
      </c>
      <c r="B34" t="s">
        <v>617</v>
      </c>
    </row>
    <row r="35" spans="1:2" x14ac:dyDescent="0.2">
      <c r="A35" t="s">
        <v>540</v>
      </c>
      <c r="B35" t="s">
        <v>617</v>
      </c>
    </row>
    <row r="36" spans="1:2" x14ac:dyDescent="0.2">
      <c r="A36" t="s">
        <v>542</v>
      </c>
      <c r="B36" t="s">
        <v>617</v>
      </c>
    </row>
    <row r="37" spans="1:2" x14ac:dyDescent="0.2">
      <c r="A37" t="s">
        <v>519</v>
      </c>
      <c r="B37" t="s">
        <v>520</v>
      </c>
    </row>
    <row r="38" spans="1:2" x14ac:dyDescent="0.2">
      <c r="A38" t="s">
        <v>618</v>
      </c>
      <c r="B38" t="s">
        <v>619</v>
      </c>
    </row>
    <row r="39" spans="1:2" x14ac:dyDescent="0.2">
      <c r="A39" t="s">
        <v>402</v>
      </c>
      <c r="B39" t="s">
        <v>500</v>
      </c>
    </row>
    <row r="40" spans="1:2" x14ac:dyDescent="0.2">
      <c r="A40" t="s">
        <v>404</v>
      </c>
      <c r="B40" t="s">
        <v>521</v>
      </c>
    </row>
    <row r="41" spans="1:2" x14ac:dyDescent="0.2">
      <c r="A41" t="s">
        <v>338</v>
      </c>
      <c r="B41" t="s">
        <v>564</v>
      </c>
    </row>
    <row r="42" spans="1:2" x14ac:dyDescent="0.2">
      <c r="A42" t="s">
        <v>620</v>
      </c>
      <c r="B42" t="s">
        <v>621</v>
      </c>
    </row>
    <row r="43" spans="1:2" x14ac:dyDescent="0.2">
      <c r="A43" t="s">
        <v>622</v>
      </c>
      <c r="B43" t="s">
        <v>623</v>
      </c>
    </row>
    <row r="44" spans="1:2" x14ac:dyDescent="0.2">
      <c r="A44" t="s">
        <v>624</v>
      </c>
      <c r="B44" t="s">
        <v>625</v>
      </c>
    </row>
    <row r="45" spans="1:2" x14ac:dyDescent="0.2">
      <c r="A45" t="s">
        <v>517</v>
      </c>
      <c r="B45" t="s">
        <v>522</v>
      </c>
    </row>
    <row r="46" spans="1:2" x14ac:dyDescent="0.2">
      <c r="A46" t="s">
        <v>247</v>
      </c>
      <c r="B46" t="s">
        <v>292</v>
      </c>
    </row>
    <row r="47" spans="1:2" x14ac:dyDescent="0.2">
      <c r="A47" t="s">
        <v>223</v>
      </c>
      <c r="B47" t="s">
        <v>406</v>
      </c>
    </row>
    <row r="48" spans="1:2" x14ac:dyDescent="0.2">
      <c r="A48" t="s">
        <v>224</v>
      </c>
      <c r="B48" t="s">
        <v>314</v>
      </c>
    </row>
    <row r="49" spans="1:2" x14ac:dyDescent="0.2">
      <c r="A49" t="s">
        <v>226</v>
      </c>
      <c r="B49" t="s">
        <v>407</v>
      </c>
    </row>
    <row r="50" spans="1:2" x14ac:dyDescent="0.2">
      <c r="A50" t="s">
        <v>408</v>
      </c>
      <c r="B50" t="s">
        <v>409</v>
      </c>
    </row>
    <row r="51" spans="1:2" x14ac:dyDescent="0.2">
      <c r="A51" t="s">
        <v>411</v>
      </c>
      <c r="B51" t="s">
        <v>412</v>
      </c>
    </row>
    <row r="52" spans="1:2" x14ac:dyDescent="0.2">
      <c r="A52" t="s">
        <v>413</v>
      </c>
      <c r="B52" t="s">
        <v>241</v>
      </c>
    </row>
    <row r="53" spans="1:2" x14ac:dyDescent="0.2">
      <c r="A53" t="s">
        <v>414</v>
      </c>
      <c r="B53" t="s">
        <v>415</v>
      </c>
    </row>
    <row r="54" spans="1:2" x14ac:dyDescent="0.2">
      <c r="A54" t="s">
        <v>416</v>
      </c>
      <c r="B54" t="s">
        <v>417</v>
      </c>
    </row>
    <row r="55" spans="1:2" x14ac:dyDescent="0.2">
      <c r="A55" t="s">
        <v>53</v>
      </c>
      <c r="B55" t="s">
        <v>293</v>
      </c>
    </row>
    <row r="56" spans="1:2" x14ac:dyDescent="0.2">
      <c r="A56" t="s">
        <v>418</v>
      </c>
      <c r="B56" t="s">
        <v>419</v>
      </c>
    </row>
    <row r="57" spans="1:2" x14ac:dyDescent="0.2">
      <c r="A57" t="s">
        <v>420</v>
      </c>
      <c r="B57" t="s">
        <v>218</v>
      </c>
    </row>
    <row r="58" spans="1:2" x14ac:dyDescent="0.2">
      <c r="A58" t="s">
        <v>421</v>
      </c>
      <c r="B58" t="s">
        <v>422</v>
      </c>
    </row>
    <row r="59" spans="1:2" x14ac:dyDescent="0.2">
      <c r="A59" t="s">
        <v>423</v>
      </c>
      <c r="B59" t="s">
        <v>424</v>
      </c>
    </row>
    <row r="60" spans="1:2" x14ac:dyDescent="0.2">
      <c r="A60" t="s">
        <v>425</v>
      </c>
      <c r="B60" t="s">
        <v>565</v>
      </c>
    </row>
    <row r="61" spans="1:2" x14ac:dyDescent="0.2">
      <c r="A61" t="s">
        <v>203</v>
      </c>
      <c r="B61" t="s">
        <v>222</v>
      </c>
    </row>
    <row r="62" spans="1:2" x14ac:dyDescent="0.2">
      <c r="A62" t="s">
        <v>544</v>
      </c>
      <c r="B62" t="s">
        <v>545</v>
      </c>
    </row>
    <row r="63" spans="1:2" x14ac:dyDescent="0.2">
      <c r="A63" t="s">
        <v>427</v>
      </c>
      <c r="B63" t="s">
        <v>428</v>
      </c>
    </row>
    <row r="64" spans="1:2" x14ac:dyDescent="0.2">
      <c r="A64" t="s">
        <v>429</v>
      </c>
      <c r="B64" t="s">
        <v>315</v>
      </c>
    </row>
    <row r="65" spans="1:2" x14ac:dyDescent="0.2">
      <c r="A65" t="s">
        <v>430</v>
      </c>
      <c r="B65" t="s">
        <v>431</v>
      </c>
    </row>
    <row r="66" spans="1:2" x14ac:dyDescent="0.2">
      <c r="A66" t="s">
        <v>432</v>
      </c>
      <c r="B66" t="s">
        <v>433</v>
      </c>
    </row>
    <row r="67" spans="1:2" x14ac:dyDescent="0.2">
      <c r="A67" t="s">
        <v>434</v>
      </c>
      <c r="B67" t="s">
        <v>426</v>
      </c>
    </row>
    <row r="68" spans="1:2" x14ac:dyDescent="0.2">
      <c r="A68" t="s">
        <v>336</v>
      </c>
      <c r="B68" t="s">
        <v>435</v>
      </c>
    </row>
    <row r="69" spans="1:2" x14ac:dyDescent="0.2">
      <c r="A69" t="s">
        <v>626</v>
      </c>
      <c r="B69" t="s">
        <v>627</v>
      </c>
    </row>
    <row r="70" spans="1:2" x14ac:dyDescent="0.2">
      <c r="A70" t="s">
        <v>330</v>
      </c>
      <c r="B70" t="s">
        <v>628</v>
      </c>
    </row>
    <row r="71" spans="1:2" x14ac:dyDescent="0.2">
      <c r="A71" t="s">
        <v>593</v>
      </c>
      <c r="B71" t="s">
        <v>629</v>
      </c>
    </row>
    <row r="72" spans="1:2" x14ac:dyDescent="0.2">
      <c r="A72" t="s">
        <v>630</v>
      </c>
      <c r="B72" t="s">
        <v>631</v>
      </c>
    </row>
    <row r="73" spans="1:2" x14ac:dyDescent="0.2">
      <c r="A73" t="s">
        <v>229</v>
      </c>
      <c r="B73" t="s">
        <v>632</v>
      </c>
    </row>
    <row r="74" spans="1:2" x14ac:dyDescent="0.2">
      <c r="A74" t="s">
        <v>437</v>
      </c>
      <c r="B74" t="s">
        <v>308</v>
      </c>
    </row>
    <row r="75" spans="1:2" x14ac:dyDescent="0.2">
      <c r="A75" t="s">
        <v>438</v>
      </c>
      <c r="B75" t="s">
        <v>441</v>
      </c>
    </row>
    <row r="76" spans="1:2" x14ac:dyDescent="0.2">
      <c r="A76" t="s">
        <v>440</v>
      </c>
      <c r="B76" t="s">
        <v>443</v>
      </c>
    </row>
    <row r="77" spans="1:2" x14ac:dyDescent="0.2">
      <c r="A77" t="s">
        <v>442</v>
      </c>
      <c r="B77" t="s">
        <v>459</v>
      </c>
    </row>
    <row r="78" spans="1:2" x14ac:dyDescent="0.2">
      <c r="A78" t="s">
        <v>444</v>
      </c>
      <c r="B78" t="s">
        <v>439</v>
      </c>
    </row>
    <row r="79" spans="1:2" x14ac:dyDescent="0.2">
      <c r="A79" t="s">
        <v>335</v>
      </c>
      <c r="B79" t="s">
        <v>446</v>
      </c>
    </row>
    <row r="80" spans="1:2" x14ac:dyDescent="0.2">
      <c r="A80" t="s">
        <v>295</v>
      </c>
      <c r="B80" t="s">
        <v>301</v>
      </c>
    </row>
    <row r="81" spans="1:2" x14ac:dyDescent="0.2">
      <c r="A81" t="s">
        <v>297</v>
      </c>
      <c r="B81" t="s">
        <v>633</v>
      </c>
    </row>
    <row r="82" spans="1:2" x14ac:dyDescent="0.2">
      <c r="A82" t="s">
        <v>161</v>
      </c>
      <c r="B82" t="s">
        <v>634</v>
      </c>
    </row>
    <row r="83" spans="1:2" x14ac:dyDescent="0.2">
      <c r="A83" t="s">
        <v>180</v>
      </c>
      <c r="B83" t="s">
        <v>548</v>
      </c>
    </row>
    <row r="84" spans="1:2" x14ac:dyDescent="0.2">
      <c r="A84" t="s">
        <v>448</v>
      </c>
      <c r="B84" t="s">
        <v>449</v>
      </c>
    </row>
    <row r="85" spans="1:2" x14ac:dyDescent="0.2">
      <c r="A85" t="s">
        <v>450</v>
      </c>
      <c r="B85" t="s">
        <v>451</v>
      </c>
    </row>
    <row r="86" spans="1:2" x14ac:dyDescent="0.2">
      <c r="A86" t="s">
        <v>453</v>
      </c>
      <c r="B86" t="s">
        <v>456</v>
      </c>
    </row>
    <row r="87" spans="1:2" x14ac:dyDescent="0.2">
      <c r="A87" t="s">
        <v>455</v>
      </c>
      <c r="B87" t="s">
        <v>635</v>
      </c>
    </row>
    <row r="88" spans="1:2" x14ac:dyDescent="0.2">
      <c r="A88" t="s">
        <v>457</v>
      </c>
      <c r="B88" t="s">
        <v>636</v>
      </c>
    </row>
    <row r="89" spans="1:2" x14ac:dyDescent="0.2">
      <c r="A89" t="s">
        <v>458</v>
      </c>
      <c r="B89" t="s">
        <v>454</v>
      </c>
    </row>
    <row r="90" spans="1:2" x14ac:dyDescent="0.2">
      <c r="A90" t="s">
        <v>460</v>
      </c>
      <c r="B90" t="s">
        <v>461</v>
      </c>
    </row>
    <row r="91" spans="1:2" x14ac:dyDescent="0.2">
      <c r="A91" t="s">
        <v>190</v>
      </c>
      <c r="B91" t="s">
        <v>549</v>
      </c>
    </row>
    <row r="92" spans="1:2" x14ac:dyDescent="0.2">
      <c r="A92" t="s">
        <v>231</v>
      </c>
      <c r="B92" t="s">
        <v>447</v>
      </c>
    </row>
    <row r="93" spans="1:2" x14ac:dyDescent="0.2">
      <c r="A93" t="s">
        <v>232</v>
      </c>
      <c r="B93" t="s">
        <v>447</v>
      </c>
    </row>
    <row r="94" spans="1:2" x14ac:dyDescent="0.2">
      <c r="A94" t="s">
        <v>233</v>
      </c>
      <c r="B94" t="s">
        <v>447</v>
      </c>
    </row>
    <row r="95" spans="1:2" x14ac:dyDescent="0.2">
      <c r="A95" t="s">
        <v>234</v>
      </c>
      <c r="B95" t="s">
        <v>462</v>
      </c>
    </row>
    <row r="96" spans="1:2" x14ac:dyDescent="0.2">
      <c r="A96" t="s">
        <v>463</v>
      </c>
      <c r="B96" t="s">
        <v>464</v>
      </c>
    </row>
    <row r="97" spans="1:2" x14ac:dyDescent="0.2">
      <c r="A97" t="s">
        <v>465</v>
      </c>
      <c r="B97" t="s">
        <v>466</v>
      </c>
    </row>
    <row r="98" spans="1:2" x14ac:dyDescent="0.2">
      <c r="A98" t="s">
        <v>467</v>
      </c>
      <c r="B98" t="s">
        <v>468</v>
      </c>
    </row>
    <row r="99" spans="1:2" x14ac:dyDescent="0.2">
      <c r="A99" t="s">
        <v>469</v>
      </c>
      <c r="B99" t="s">
        <v>470</v>
      </c>
    </row>
    <row r="100" spans="1:2" x14ac:dyDescent="0.2">
      <c r="A100" t="s">
        <v>471</v>
      </c>
      <c r="B100" t="s">
        <v>472</v>
      </c>
    </row>
    <row r="101" spans="1:2" x14ac:dyDescent="0.2">
      <c r="A101" t="s">
        <v>473</v>
      </c>
      <c r="B101" t="s">
        <v>474</v>
      </c>
    </row>
    <row r="102" spans="1:2" x14ac:dyDescent="0.2">
      <c r="A102" t="s">
        <v>475</v>
      </c>
      <c r="B102" t="s">
        <v>476</v>
      </c>
    </row>
    <row r="103" spans="1:2" x14ac:dyDescent="0.2">
      <c r="A103" t="s">
        <v>477</v>
      </c>
      <c r="B103" t="s">
        <v>299</v>
      </c>
    </row>
    <row r="104" spans="1:2" x14ac:dyDescent="0.2">
      <c r="A104" t="s">
        <v>42</v>
      </c>
      <c r="B104" t="s">
        <v>566</v>
      </c>
    </row>
    <row r="105" spans="1:2" x14ac:dyDescent="0.2">
      <c r="A105" t="s">
        <v>300</v>
      </c>
      <c r="B105" t="s">
        <v>478</v>
      </c>
    </row>
    <row r="106" spans="1:2" x14ac:dyDescent="0.2">
      <c r="A106" t="s">
        <v>256</v>
      </c>
      <c r="B106" t="s">
        <v>479</v>
      </c>
    </row>
    <row r="107" spans="1:2" x14ac:dyDescent="0.2">
      <c r="A107" t="s">
        <v>236</v>
      </c>
      <c r="B107" t="s">
        <v>480</v>
      </c>
    </row>
    <row r="108" spans="1:2" x14ac:dyDescent="0.2">
      <c r="A108" t="s">
        <v>237</v>
      </c>
      <c r="B108" t="s">
        <v>481</v>
      </c>
    </row>
    <row r="109" spans="1:2" x14ac:dyDescent="0.2">
      <c r="A109" t="s">
        <v>550</v>
      </c>
      <c r="B109" t="s">
        <v>551</v>
      </c>
    </row>
    <row r="110" spans="1:2" x14ac:dyDescent="0.2">
      <c r="A110" t="s">
        <v>208</v>
      </c>
      <c r="B110" t="s">
        <v>482</v>
      </c>
    </row>
    <row r="111" spans="1:2" x14ac:dyDescent="0.2">
      <c r="A111" t="s">
        <v>483</v>
      </c>
      <c r="B111" t="s">
        <v>484</v>
      </c>
    </row>
    <row r="112" spans="1:2" x14ac:dyDescent="0.2">
      <c r="A112" t="s">
        <v>485</v>
      </c>
      <c r="B112" t="s">
        <v>235</v>
      </c>
    </row>
    <row r="113" spans="1:2" x14ac:dyDescent="0.2">
      <c r="A113" t="s">
        <v>486</v>
      </c>
      <c r="B113" t="s">
        <v>487</v>
      </c>
    </row>
    <row r="114" spans="1:2" x14ac:dyDescent="0.2">
      <c r="A114" t="s">
        <v>488</v>
      </c>
      <c r="B114" t="s">
        <v>489</v>
      </c>
    </row>
    <row r="115" spans="1:2" x14ac:dyDescent="0.2">
      <c r="A115" t="s">
        <v>341</v>
      </c>
      <c r="B115" t="s">
        <v>405</v>
      </c>
    </row>
    <row r="116" spans="1:2" x14ac:dyDescent="0.2">
      <c r="A116" t="s">
        <v>339</v>
      </c>
      <c r="B116" t="s">
        <v>490</v>
      </c>
    </row>
    <row r="117" spans="1:2" x14ac:dyDescent="0.2">
      <c r="A117" t="s">
        <v>492</v>
      </c>
      <c r="B117" t="s">
        <v>491</v>
      </c>
    </row>
    <row r="118" spans="1:2" x14ac:dyDescent="0.2">
      <c r="A118" t="s">
        <v>238</v>
      </c>
      <c r="B118" t="s">
        <v>494</v>
      </c>
    </row>
    <row r="119" spans="1:2" x14ac:dyDescent="0.2">
      <c r="A119" t="s">
        <v>495</v>
      </c>
      <c r="B119" t="s">
        <v>496</v>
      </c>
    </row>
    <row r="120" spans="1:2" x14ac:dyDescent="0.2">
      <c r="A120" t="s">
        <v>278</v>
      </c>
      <c r="B120" t="s">
        <v>284</v>
      </c>
    </row>
    <row r="121" spans="1:2" x14ac:dyDescent="0.2">
      <c r="A121" t="s">
        <v>613</v>
      </c>
      <c r="B121" t="s">
        <v>637</v>
      </c>
    </row>
    <row r="122" spans="1:2" x14ac:dyDescent="0.2">
      <c r="A122" t="s">
        <v>274</v>
      </c>
      <c r="B122" t="s">
        <v>302</v>
      </c>
    </row>
    <row r="123" spans="1:2" x14ac:dyDescent="0.2">
      <c r="A123" t="s">
        <v>530</v>
      </c>
      <c r="B123" t="s">
        <v>452</v>
      </c>
    </row>
    <row r="124" spans="1:2" x14ac:dyDescent="0.2">
      <c r="A124" t="s">
        <v>552</v>
      </c>
      <c r="B124" t="s">
        <v>553</v>
      </c>
    </row>
    <row r="125" spans="1:2" x14ac:dyDescent="0.2">
      <c r="A125" t="s">
        <v>497</v>
      </c>
      <c r="B125" t="s">
        <v>502</v>
      </c>
    </row>
    <row r="126" spans="1:2" x14ac:dyDescent="0.2">
      <c r="A126" t="s">
        <v>280</v>
      </c>
      <c r="B126" t="s">
        <v>303</v>
      </c>
    </row>
    <row r="127" spans="1:2" x14ac:dyDescent="0.2">
      <c r="A127" t="s">
        <v>638</v>
      </c>
      <c r="B127" t="s">
        <v>639</v>
      </c>
    </row>
    <row r="128" spans="1:2" x14ac:dyDescent="0.2">
      <c r="A128" t="s">
        <v>304</v>
      </c>
      <c r="B128" t="s">
        <v>640</v>
      </c>
    </row>
    <row r="129" spans="1:2" x14ac:dyDescent="0.2">
      <c r="A129" t="s">
        <v>306</v>
      </c>
      <c r="B129" t="s">
        <v>498</v>
      </c>
    </row>
    <row r="130" spans="1:2" x14ac:dyDescent="0.2">
      <c r="A130" t="s">
        <v>353</v>
      </c>
      <c r="B130" t="s">
        <v>499</v>
      </c>
    </row>
    <row r="131" spans="1:2" x14ac:dyDescent="0.2">
      <c r="A131" t="s">
        <v>307</v>
      </c>
      <c r="B131" t="s">
        <v>328</v>
      </c>
    </row>
    <row r="132" spans="1:2" x14ac:dyDescent="0.2">
      <c r="A132" t="s">
        <v>309</v>
      </c>
      <c r="B132" t="s">
        <v>310</v>
      </c>
    </row>
    <row r="133" spans="1:2" x14ac:dyDescent="0.2">
      <c r="A133" t="s">
        <v>239</v>
      </c>
      <c r="B133" t="s">
        <v>447</v>
      </c>
    </row>
    <row r="134" spans="1:2" x14ac:dyDescent="0.2">
      <c r="A134" t="s">
        <v>351</v>
      </c>
      <c r="B134" t="s">
        <v>311</v>
      </c>
    </row>
    <row r="135" spans="1:2" x14ac:dyDescent="0.2">
      <c r="A135" t="s">
        <v>364</v>
      </c>
      <c r="B135" t="s">
        <v>501</v>
      </c>
    </row>
    <row r="136" spans="1:2" x14ac:dyDescent="0.2">
      <c r="A136" t="s">
        <v>359</v>
      </c>
      <c r="B136" t="s">
        <v>567</v>
      </c>
    </row>
    <row r="137" spans="1:2" x14ac:dyDescent="0.2">
      <c r="A137" t="s">
        <v>554</v>
      </c>
      <c r="B137" t="s">
        <v>384</v>
      </c>
    </row>
    <row r="138" spans="1:2" x14ac:dyDescent="0.2">
      <c r="A138" t="s">
        <v>555</v>
      </c>
      <c r="B138" t="s">
        <v>556</v>
      </c>
    </row>
    <row r="139" spans="1:2" x14ac:dyDescent="0.2">
      <c r="A139" t="s">
        <v>252</v>
      </c>
      <c r="B139" t="s">
        <v>312</v>
      </c>
    </row>
    <row r="140" spans="1:2" x14ac:dyDescent="0.2">
      <c r="A140" t="s">
        <v>557</v>
      </c>
      <c r="B140" t="s">
        <v>558</v>
      </c>
    </row>
    <row r="141" spans="1:2" x14ac:dyDescent="0.2">
      <c r="A141" t="s">
        <v>503</v>
      </c>
      <c r="B141" t="s">
        <v>504</v>
      </c>
    </row>
    <row r="142" spans="1:2" x14ac:dyDescent="0.2">
      <c r="A142" t="s">
        <v>505</v>
      </c>
      <c r="B142" t="s">
        <v>240</v>
      </c>
    </row>
    <row r="143" spans="1:2" x14ac:dyDescent="0.2">
      <c r="A143" t="s">
        <v>506</v>
      </c>
      <c r="B143" t="s">
        <v>507</v>
      </c>
    </row>
    <row r="144" spans="1:2" x14ac:dyDescent="0.2">
      <c r="A144" t="s">
        <v>508</v>
      </c>
      <c r="B144" t="s">
        <v>509</v>
      </c>
    </row>
    <row r="145" spans="1:2" x14ac:dyDescent="0.2">
      <c r="A145" t="s">
        <v>559</v>
      </c>
      <c r="B145" t="s">
        <v>560</v>
      </c>
    </row>
    <row r="146" spans="1:2" x14ac:dyDescent="0.2">
      <c r="A146" t="s">
        <v>510</v>
      </c>
      <c r="B146" t="s">
        <v>511</v>
      </c>
    </row>
    <row r="147" spans="1:2" x14ac:dyDescent="0.2">
      <c r="A147" t="s">
        <v>512</v>
      </c>
      <c r="B147" t="s">
        <v>227</v>
      </c>
    </row>
    <row r="148" spans="1:2" x14ac:dyDescent="0.2">
      <c r="A148" t="s">
        <v>513</v>
      </c>
      <c r="B148" t="s">
        <v>514</v>
      </c>
    </row>
    <row r="149" spans="1:2" x14ac:dyDescent="0.2">
      <c r="A149" t="s">
        <v>515</v>
      </c>
      <c r="B149" t="s">
        <v>516</v>
      </c>
    </row>
    <row r="150" spans="1:2" x14ac:dyDescent="0.2">
      <c r="A150" t="s">
        <v>0</v>
      </c>
      <c r="B150" t="s">
        <v>447</v>
      </c>
    </row>
    <row r="151" spans="1:2" x14ac:dyDescent="0.2">
      <c r="A151" t="s">
        <v>1</v>
      </c>
      <c r="B151" t="s">
        <v>447</v>
      </c>
    </row>
    <row r="152" spans="1:2" x14ac:dyDescent="0.2">
      <c r="A152" t="s">
        <v>2</v>
      </c>
      <c r="B152" t="s">
        <v>447</v>
      </c>
    </row>
    <row r="153" spans="1:2" x14ac:dyDescent="0.2">
      <c r="A153" t="s">
        <v>3</v>
      </c>
      <c r="B153" t="s">
        <v>447</v>
      </c>
    </row>
    <row r="154" spans="1:2" x14ac:dyDescent="0.2">
      <c r="A154" t="s">
        <v>4</v>
      </c>
      <c r="B154" t="s">
        <v>5</v>
      </c>
    </row>
    <row r="155" spans="1:2" x14ac:dyDescent="0.2">
      <c r="A155" t="s">
        <v>6</v>
      </c>
      <c r="B155" t="s">
        <v>242</v>
      </c>
    </row>
    <row r="156" spans="1:2" x14ac:dyDescent="0.2">
      <c r="A156" t="s">
        <v>7</v>
      </c>
      <c r="B156" t="s">
        <v>8</v>
      </c>
    </row>
    <row r="157" spans="1:2" x14ac:dyDescent="0.2">
      <c r="A157" t="s">
        <v>9</v>
      </c>
      <c r="B157" t="s">
        <v>10</v>
      </c>
    </row>
    <row r="158" spans="1:2" x14ac:dyDescent="0.2">
      <c r="A158" t="s">
        <v>316</v>
      </c>
      <c r="B158" t="s">
        <v>11</v>
      </c>
    </row>
    <row r="159" spans="1:2" x14ac:dyDescent="0.2">
      <c r="A159" t="s">
        <v>251</v>
      </c>
      <c r="B159" t="s">
        <v>561</v>
      </c>
    </row>
    <row r="160" spans="1:2" x14ac:dyDescent="0.2">
      <c r="A160" t="s">
        <v>257</v>
      </c>
      <c r="B160" t="s">
        <v>12</v>
      </c>
    </row>
    <row r="161" spans="1:2" x14ac:dyDescent="0.2">
      <c r="A161" t="s">
        <v>250</v>
      </c>
      <c r="B161" t="s">
        <v>13</v>
      </c>
    </row>
    <row r="162" spans="1:2" x14ac:dyDescent="0.2">
      <c r="A162" t="s">
        <v>317</v>
      </c>
      <c r="B162" t="s">
        <v>14</v>
      </c>
    </row>
    <row r="163" spans="1:2" x14ac:dyDescent="0.2">
      <c r="A163" t="s">
        <v>319</v>
      </c>
      <c r="B163" t="s">
        <v>324</v>
      </c>
    </row>
    <row r="164" spans="1:2" x14ac:dyDescent="0.2">
      <c r="A164" t="s">
        <v>243</v>
      </c>
      <c r="B164" t="s">
        <v>15</v>
      </c>
    </row>
    <row r="165" spans="1:2" x14ac:dyDescent="0.2">
      <c r="A165" t="s">
        <v>16</v>
      </c>
      <c r="B165" t="s">
        <v>225</v>
      </c>
    </row>
    <row r="166" spans="1:2" x14ac:dyDescent="0.2">
      <c r="A166" t="s">
        <v>17</v>
      </c>
      <c r="B166" t="s">
        <v>18</v>
      </c>
    </row>
    <row r="167" spans="1:2" x14ac:dyDescent="0.2">
      <c r="A167" t="s">
        <v>19</v>
      </c>
      <c r="B167" t="s">
        <v>20</v>
      </c>
    </row>
    <row r="168" spans="1:2" x14ac:dyDescent="0.2">
      <c r="A168" t="s">
        <v>259</v>
      </c>
      <c r="B168" t="s">
        <v>318</v>
      </c>
    </row>
    <row r="169" spans="1:2" x14ac:dyDescent="0.2">
      <c r="A169" t="s">
        <v>321</v>
      </c>
      <c r="B169" t="s">
        <v>21</v>
      </c>
    </row>
    <row r="170" spans="1:2" x14ac:dyDescent="0.2">
      <c r="A170" t="s">
        <v>22</v>
      </c>
      <c r="B170" t="s">
        <v>296</v>
      </c>
    </row>
    <row r="171" spans="1:2" x14ac:dyDescent="0.2">
      <c r="A171" t="s">
        <v>260</v>
      </c>
      <c r="B171" t="s">
        <v>326</v>
      </c>
    </row>
    <row r="172" spans="1:2" x14ac:dyDescent="0.2">
      <c r="A172" t="s">
        <v>261</v>
      </c>
      <c r="B172" t="s">
        <v>320</v>
      </c>
    </row>
    <row r="173" spans="1:2" x14ac:dyDescent="0.2">
      <c r="A173" t="s">
        <v>325</v>
      </c>
      <c r="B173" t="s">
        <v>323</v>
      </c>
    </row>
    <row r="174" spans="1:2" x14ac:dyDescent="0.2">
      <c r="A174" t="s">
        <v>258</v>
      </c>
      <c r="B174" t="s">
        <v>322</v>
      </c>
    </row>
    <row r="175" spans="1:2" x14ac:dyDescent="0.2">
      <c r="A175" t="s">
        <v>255</v>
      </c>
      <c r="B175" t="s">
        <v>23</v>
      </c>
    </row>
    <row r="176" spans="1:2" x14ac:dyDescent="0.2">
      <c r="A176" t="s">
        <v>254</v>
      </c>
      <c r="B176" t="s">
        <v>24</v>
      </c>
    </row>
    <row r="177" spans="1:2" x14ac:dyDescent="0.2">
      <c r="A177" t="s">
        <v>340</v>
      </c>
      <c r="B177" t="s">
        <v>493</v>
      </c>
    </row>
    <row r="178" spans="1:2" x14ac:dyDescent="0.2">
      <c r="A178" t="s">
        <v>253</v>
      </c>
      <c r="B178" t="s">
        <v>25</v>
      </c>
    </row>
    <row r="179" spans="1:2" x14ac:dyDescent="0.2">
      <c r="A179" t="s">
        <v>245</v>
      </c>
      <c r="B179" t="s">
        <v>26</v>
      </c>
    </row>
    <row r="180" spans="1:2" x14ac:dyDescent="0.2">
      <c r="A180" t="s">
        <v>352</v>
      </c>
      <c r="B180" t="s">
        <v>27</v>
      </c>
    </row>
    <row r="181" spans="1:2" x14ac:dyDescent="0.2">
      <c r="A181" t="s">
        <v>327</v>
      </c>
      <c r="B181" t="s">
        <v>313</v>
      </c>
    </row>
    <row r="182" spans="1:2" x14ac:dyDescent="0.2">
      <c r="A182" t="s">
        <v>329</v>
      </c>
      <c r="B182" t="s">
        <v>28</v>
      </c>
    </row>
    <row r="183" spans="1:2" x14ac:dyDescent="0.2">
      <c r="A183" t="s">
        <v>562</v>
      </c>
      <c r="B183" t="s">
        <v>563</v>
      </c>
    </row>
    <row r="184" spans="1:2" x14ac:dyDescent="0.2">
      <c r="A184" t="s">
        <v>30</v>
      </c>
      <c r="B184" t="s">
        <v>31</v>
      </c>
    </row>
    <row r="185" spans="1:2" x14ac:dyDescent="0.2">
      <c r="A185" t="s">
        <v>32</v>
      </c>
      <c r="B185" t="s">
        <v>244</v>
      </c>
    </row>
    <row r="186" spans="1:2" x14ac:dyDescent="0.2">
      <c r="A186" t="s">
        <v>33</v>
      </c>
      <c r="B186" t="s">
        <v>34</v>
      </c>
    </row>
    <row r="187" spans="1:2" x14ac:dyDescent="0.2">
      <c r="A187" t="s">
        <v>523</v>
      </c>
      <c r="B187" t="s">
        <v>29</v>
      </c>
    </row>
    <row r="192" spans="1:2" x14ac:dyDescent="0.2">
      <c r="A192" t="s">
        <v>641</v>
      </c>
      <c r="B192" s="122">
        <v>45658</v>
      </c>
    </row>
    <row r="193" spans="1:5" x14ac:dyDescent="0.2">
      <c r="A193" t="s">
        <v>642</v>
      </c>
      <c r="B193" s="122">
        <v>45838</v>
      </c>
      <c r="E193" s="122"/>
    </row>
    <row r="194" spans="1:5" x14ac:dyDescent="0.2">
      <c r="A194" t="s">
        <v>643</v>
      </c>
      <c r="B194" s="122">
        <v>45520</v>
      </c>
    </row>
    <row r="195" spans="1:5" x14ac:dyDescent="0.2">
      <c r="A195" t="s">
        <v>644</v>
      </c>
      <c r="B195" s="127" t="s">
        <v>911</v>
      </c>
    </row>
  </sheetData>
  <customSheetViews>
    <customSheetView guid="{EEA7A97B-E2BF-43AD-B211-D284BEE221A1}" showRuler="0" topLeftCell="A16">
      <selection activeCell="D27" sqref="D27"/>
      <pageMargins left="0.78740157480314965" right="0.78740157480314965" top="0.19685039370078741" bottom="0.19685039370078741" header="0.51181102362204722" footer="0.31496062992125984"/>
      <printOptions gridLines="1"/>
      <pageSetup paperSize="9" orientation="portrait" r:id="rId1"/>
      <headerFooter alignWithMargins="0"/>
    </customSheetView>
    <customSheetView guid="{04F5F062-CD85-4BE7-B897-A8C5C601EF7B}" showRuler="0" topLeftCell="A16">
      <selection activeCell="I31" sqref="I31"/>
      <pageMargins left="0.78740157480314965" right="0.78740157480314965" top="0.19685039370078741" bottom="0.19685039370078741" header="0.51181102362204722" footer="0.31496062992125984"/>
      <printOptions gridLines="1"/>
      <pageSetup paperSize="9" orientation="portrait" r:id="rId2"/>
      <headerFooter alignWithMargins="0"/>
    </customSheetView>
  </customSheetViews>
  <phoneticPr fontId="20" type="noConversion"/>
  <printOptions gridLines="1"/>
  <pageMargins left="0.78740157480314965" right="0.78740157480314965" top="0.19685039370078741" bottom="0.19685039370078741" header="0.51181102362204722" footer="0.31496062992125984"/>
  <pageSetup paperSize="9" orientation="portrait" r:id="rId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1"/>
  <dimension ref="A1:BC7"/>
  <sheetViews>
    <sheetView workbookViewId="0">
      <selection activeCell="K2" sqref="K2"/>
    </sheetView>
  </sheetViews>
  <sheetFormatPr baseColWidth="10" defaultRowHeight="12.75" x14ac:dyDescent="0.2"/>
  <cols>
    <col min="1" max="1" width="5.85546875" customWidth="1"/>
    <col min="2" max="2" width="8.42578125" customWidth="1"/>
    <col min="3" max="3" width="7" customWidth="1"/>
    <col min="4" max="4" width="5" customWidth="1"/>
    <col min="5" max="5" width="17.7109375" customWidth="1"/>
    <col min="6" max="6" width="21.85546875" customWidth="1"/>
    <col min="7" max="7" width="9.42578125" customWidth="1"/>
    <col min="8" max="8" width="9.5703125" customWidth="1"/>
    <col min="9" max="9" width="5.28515625" customWidth="1"/>
    <col min="10" max="10" width="17.28515625" customWidth="1"/>
    <col min="11" max="11" width="8" customWidth="1"/>
    <col min="12" max="12" width="14.5703125" customWidth="1"/>
    <col min="13" max="13" width="8" customWidth="1"/>
    <col min="14" max="14" width="17.5703125" customWidth="1"/>
    <col min="15" max="15" width="13.85546875" customWidth="1"/>
    <col min="16" max="16" width="15.5703125" customWidth="1"/>
    <col min="17" max="17" width="16.28515625" customWidth="1"/>
    <col min="18" max="18" width="21.85546875" customWidth="1"/>
    <col min="19" max="19" width="5.28515625" customWidth="1"/>
    <col min="20" max="20" width="22.42578125" customWidth="1"/>
    <col min="21" max="26" width="5.42578125" customWidth="1"/>
    <col min="27" max="27" width="5.7109375" customWidth="1"/>
    <col min="28" max="28" width="14.85546875" customWidth="1"/>
    <col min="29" max="29" width="6.28515625" customWidth="1"/>
    <col min="30" max="32" width="6.7109375" customWidth="1"/>
    <col min="33" max="33" width="5.28515625" customWidth="1"/>
    <col min="35" max="35" width="15.140625" customWidth="1"/>
  </cols>
  <sheetData>
    <row r="1" spans="1:55" s="4" customFormat="1" ht="51.75" customHeight="1" x14ac:dyDescent="0.2">
      <c r="A1" s="39" t="s">
        <v>94</v>
      </c>
      <c r="B1" s="48" t="s">
        <v>160</v>
      </c>
      <c r="C1" s="48" t="s">
        <v>158</v>
      </c>
      <c r="D1" s="49" t="s">
        <v>89</v>
      </c>
      <c r="E1" s="40" t="s">
        <v>86</v>
      </c>
      <c r="F1" s="40" t="s">
        <v>162</v>
      </c>
      <c r="G1" s="41" t="s">
        <v>52</v>
      </c>
      <c r="H1" s="41" t="s">
        <v>53</v>
      </c>
      <c r="I1" s="42" t="s">
        <v>51</v>
      </c>
      <c r="J1" s="40" t="s">
        <v>90</v>
      </c>
      <c r="K1" s="43" t="s">
        <v>39</v>
      </c>
      <c r="L1" s="44" t="s">
        <v>40</v>
      </c>
      <c r="M1" s="44" t="s">
        <v>48</v>
      </c>
      <c r="N1" s="44" t="s">
        <v>46</v>
      </c>
      <c r="O1" s="44" t="s">
        <v>95</v>
      </c>
      <c r="P1" s="44" t="s">
        <v>49</v>
      </c>
      <c r="Q1" s="39" t="s">
        <v>41</v>
      </c>
      <c r="R1" s="40" t="s">
        <v>50</v>
      </c>
      <c r="S1" s="45" t="s">
        <v>161</v>
      </c>
      <c r="T1" s="45" t="s">
        <v>74</v>
      </c>
      <c r="U1" s="46" t="s">
        <v>71</v>
      </c>
      <c r="V1" s="24" t="s">
        <v>73</v>
      </c>
      <c r="W1" s="24" t="s">
        <v>72</v>
      </c>
      <c r="X1" s="24" t="s">
        <v>91</v>
      </c>
      <c r="Y1" s="24" t="s">
        <v>92</v>
      </c>
      <c r="Z1" s="24" t="s">
        <v>173</v>
      </c>
      <c r="AA1" s="24" t="s">
        <v>139</v>
      </c>
      <c r="AB1" s="45" t="s">
        <v>93</v>
      </c>
      <c r="AC1" s="40" t="s">
        <v>107</v>
      </c>
      <c r="AD1" s="40" t="s">
        <v>170</v>
      </c>
      <c r="AE1" s="40" t="s">
        <v>171</v>
      </c>
      <c r="AF1" s="40" t="s">
        <v>159</v>
      </c>
      <c r="AG1" s="40" t="s">
        <v>172</v>
      </c>
      <c r="AH1" s="40" t="s">
        <v>146</v>
      </c>
      <c r="AI1" s="40" t="s">
        <v>157</v>
      </c>
      <c r="AJ1" s="40" t="s">
        <v>149</v>
      </c>
      <c r="AK1" s="47" t="s">
        <v>108</v>
      </c>
      <c r="AL1" s="47" t="s">
        <v>99</v>
      </c>
      <c r="AM1" s="47" t="s">
        <v>100</v>
      </c>
      <c r="AN1" s="24" t="s">
        <v>164</v>
      </c>
      <c r="AO1" s="47" t="s">
        <v>108</v>
      </c>
      <c r="AP1" s="47" t="s">
        <v>99</v>
      </c>
      <c r="AQ1" s="47" t="s">
        <v>100</v>
      </c>
      <c r="AR1" s="24" t="s">
        <v>165</v>
      </c>
      <c r="AS1" s="47" t="s">
        <v>108</v>
      </c>
      <c r="AT1" s="47" t="s">
        <v>99</v>
      </c>
      <c r="AU1" s="47" t="s">
        <v>100</v>
      </c>
      <c r="AV1" s="24" t="s">
        <v>151</v>
      </c>
      <c r="AW1" s="47" t="s">
        <v>108</v>
      </c>
      <c r="AX1" s="47" t="s">
        <v>99</v>
      </c>
      <c r="AY1" s="47" t="s">
        <v>100</v>
      </c>
      <c r="AZ1" s="40" t="s">
        <v>150</v>
      </c>
      <c r="BA1" s="47" t="s">
        <v>108</v>
      </c>
      <c r="BB1" s="47" t="s">
        <v>99</v>
      </c>
      <c r="BC1" s="47" t="s">
        <v>100</v>
      </c>
    </row>
    <row r="2" spans="1:55" s="18" customFormat="1" ht="51" x14ac:dyDescent="0.2">
      <c r="A2" s="18">
        <f>DokuBogen!AE1</f>
        <v>0</v>
      </c>
      <c r="B2" s="19">
        <f>DokuBogen!AC4</f>
        <v>0</v>
      </c>
      <c r="C2" s="50">
        <f>DokuBogen!AB47</f>
        <v>0</v>
      </c>
      <c r="D2" s="18" t="e">
        <f>#REF!</f>
        <v>#REF!</v>
      </c>
      <c r="E2" s="20">
        <f>'Anmeldeformular2025-1'!I10</f>
        <v>0</v>
      </c>
      <c r="F2" s="20">
        <f>'Anmeldeformular2025-1'!I31</f>
        <v>0</v>
      </c>
      <c r="G2" s="21" t="e">
        <f>'Anmeldeformular2025-1'!#REF!</f>
        <v>#REF!</v>
      </c>
      <c r="H2" s="21" t="e">
        <f>'Anmeldeformular2025-1'!#REF!</f>
        <v>#REF!</v>
      </c>
      <c r="I2" s="21" t="e">
        <f>#REF!</f>
        <v>#REF!</v>
      </c>
      <c r="J2" s="20" t="e">
        <f>'Anmeldeformular2025-1'!#REF!</f>
        <v>#REF!</v>
      </c>
      <c r="K2" s="20" t="e">
        <f>'Anmeldeformular2025-1'!#REF!</f>
        <v>#REF!</v>
      </c>
      <c r="L2" s="20" t="e">
        <f>'Anmeldeformular2025-1'!#REF!</f>
        <v>#REF!</v>
      </c>
      <c r="M2" s="20" t="e">
        <f>'Anmeldeformular2025-1'!#REF!</f>
        <v>#REF!</v>
      </c>
      <c r="N2" s="20" t="e">
        <f>'Anmeldeformular2025-1'!#REF!</f>
        <v>#REF!</v>
      </c>
      <c r="O2" s="20" t="e">
        <f>'Anmeldeformular2025-1'!#REF!</f>
        <v>#REF!</v>
      </c>
      <c r="P2" s="22" t="e">
        <f>'Anmeldeformular2025-1'!#REF!</f>
        <v>#REF!</v>
      </c>
      <c r="Q2" s="20" t="e">
        <f>'Anmeldeformular2025-1'!#REF!</f>
        <v>#REF!</v>
      </c>
      <c r="R2" s="20" t="e">
        <f>'Anmeldeformular2025-1'!#REF!</f>
        <v>#REF!</v>
      </c>
      <c r="S2" s="23" t="e">
        <f>#REF!</f>
        <v>#REF!</v>
      </c>
      <c r="T2" s="20" t="e">
        <f>#REF!</f>
        <v>#REF!</v>
      </c>
      <c r="U2" s="51" t="str">
        <f>'Anmeldeformular2025-1'!B48</f>
        <v>davon nicht-binär</v>
      </c>
      <c r="V2" s="51">
        <f>'Anmeldeformular2025-1'!H48</f>
        <v>0</v>
      </c>
      <c r="W2" s="51">
        <f>'Anmeldeformular2025-1'!H49</f>
        <v>0</v>
      </c>
      <c r="X2" s="52">
        <f>'Anmeldeformular2025-1'!X45</f>
        <v>0</v>
      </c>
      <c r="Y2" s="51">
        <f>'Anmeldeformular2025-1'!X46</f>
        <v>0</v>
      </c>
      <c r="Z2" s="51">
        <f>'Anmeldeformular2025-1'!X47</f>
        <v>0</v>
      </c>
      <c r="AA2" s="51">
        <f>'Anmeldeformular2025-1'!H50</f>
        <v>0</v>
      </c>
      <c r="AB2" s="20" t="e">
        <f>#REF!</f>
        <v>#REF!</v>
      </c>
      <c r="AC2" s="51" t="e">
        <f>#REF!</f>
        <v>#REF!</v>
      </c>
      <c r="AD2" s="54" t="e">
        <f>#REF!</f>
        <v>#REF!</v>
      </c>
      <c r="AE2" s="54" t="e">
        <f>#REF!</f>
        <v>#REF!</v>
      </c>
      <c r="AF2" s="23" t="e">
        <f>#REF!</f>
        <v>#REF!</v>
      </c>
      <c r="AG2" s="23" t="e">
        <f>#REF!</f>
        <v>#REF!</v>
      </c>
      <c r="AH2" s="53" t="e">
        <f>#REF!</f>
        <v>#REF!</v>
      </c>
      <c r="AI2" s="53" t="e">
        <f>#REF!</f>
        <v>#REF!</v>
      </c>
      <c r="AJ2" s="51">
        <f>'Anmeldeformular2025-1'!M58</f>
        <v>0</v>
      </c>
      <c r="AK2" s="51">
        <f>'Anmeldeformular2025-1'!P58</f>
        <v>0</v>
      </c>
      <c r="AL2" s="51">
        <f>'Anmeldeformular2025-1'!S58</f>
        <v>0</v>
      </c>
      <c r="AM2" s="51">
        <f>'Anmeldeformular2025-1'!V62</f>
        <v>0</v>
      </c>
      <c r="AN2" s="51">
        <f>'Anmeldeformular2025-1'!R64</f>
        <v>0</v>
      </c>
      <c r="AO2" s="51">
        <f>'Anmeldeformular2025-1'!U64</f>
        <v>0</v>
      </c>
      <c r="AP2" s="51" t="e">
        <f>'Anmeldeformular2025-1'!#REF!</f>
        <v>#REF!</v>
      </c>
      <c r="AQ2" s="51" t="e">
        <f>'Anmeldeformular2025-1'!#REF!</f>
        <v>#REF!</v>
      </c>
      <c r="AR2" s="51">
        <f>'Anmeldeformular2025-1'!R65</f>
        <v>0</v>
      </c>
      <c r="AS2" s="51">
        <f>'Anmeldeformular2025-1'!U65</f>
        <v>0</v>
      </c>
      <c r="AT2" s="51" t="e">
        <f>'Anmeldeformular2025-1'!#REF!</f>
        <v>#REF!</v>
      </c>
      <c r="AU2" s="51" t="e">
        <f>'Anmeldeformular2025-1'!#REF!</f>
        <v>#REF!</v>
      </c>
      <c r="AV2" s="51">
        <f>AN2+AR2</f>
        <v>0</v>
      </c>
      <c r="AW2" s="51">
        <f>AO2+AS2</f>
        <v>0</v>
      </c>
      <c r="AX2" s="51" t="e">
        <f>AP2+AT2</f>
        <v>#REF!</v>
      </c>
      <c r="AY2" s="51" t="e">
        <f>AQ2+AU2</f>
        <v>#REF!</v>
      </c>
      <c r="AZ2" s="3">
        <f>SUM('Anmeldeformular2025-1'!R59:R63)</f>
        <v>0</v>
      </c>
      <c r="BA2" s="3">
        <f>SUM('Anmeldeformular2025-1'!U59:U63)</f>
        <v>0</v>
      </c>
      <c r="BB2" s="3">
        <f>SUM('Anmeldeformular2025-1'!X60:X67)</f>
        <v>0</v>
      </c>
      <c r="BC2" s="3">
        <f>SUM('Anmeldeformular2025-1'!AA63:AA68)</f>
        <v>0</v>
      </c>
    </row>
    <row r="3" spans="1:55" x14ac:dyDescent="0.2">
      <c r="AC3" s="3"/>
      <c r="AD3" s="3"/>
      <c r="AE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5" spans="1:55" s="1" customFormat="1" ht="15" x14ac:dyDescent="0.2"/>
    <row r="6" spans="1:55" s="2" customFormat="1" x14ac:dyDescent="0.2"/>
    <row r="7" spans="1:55" s="2" customFormat="1" x14ac:dyDescent="0.2"/>
  </sheetData>
  <customSheetViews>
    <customSheetView guid="{EEA7A97B-E2BF-43AD-B211-D284BEE221A1}" state="hidden" showRuler="0" topLeftCell="C1">
      <selection activeCell="K2" sqref="K2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04F5F062-CD85-4BE7-B897-A8C5C601EF7B}" state="hidden" showRuler="0" topLeftCell="C1">
      <selection activeCell="K2" sqref="K2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"/>
  <sheetViews>
    <sheetView workbookViewId="0"/>
  </sheetViews>
  <sheetFormatPr baseColWidth="10" defaultRowHeight="12.75" x14ac:dyDescent="0.2"/>
  <sheetData/>
  <phoneticPr fontId="29" type="noConversion"/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"/>
  <sheetViews>
    <sheetView workbookViewId="0"/>
  </sheetViews>
  <sheetFormatPr baseColWidth="10" defaultRowHeight="12.75" x14ac:dyDescent="0.2"/>
  <sheetData/>
  <phoneticPr fontId="29" type="noConversion"/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"/>
  <sheetViews>
    <sheetView workbookViewId="0">
      <selection activeCell="C31" sqref="C31"/>
    </sheetView>
  </sheetViews>
  <sheetFormatPr baseColWidth="10" defaultRowHeight="12.75" x14ac:dyDescent="0.2"/>
  <sheetData/>
  <phoneticPr fontId="29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175</vt:i4>
      </vt:variant>
    </vt:vector>
  </HeadingPairs>
  <TitlesOfParts>
    <vt:vector size="198" baseType="lpstr">
      <vt:lpstr>Anmeldeformular2025-1</vt:lpstr>
      <vt:lpstr>JC</vt:lpstr>
      <vt:lpstr>DokuBogen</vt:lpstr>
      <vt:lpstr>DOKU_Verk</vt:lpstr>
      <vt:lpstr>Intern</vt:lpstr>
      <vt:lpstr>Check</vt:lpstr>
      <vt:lpstr>HilfstabelleDatenbank</vt:lpstr>
      <vt:lpstr>Auswahl</vt:lpstr>
      <vt:lpstr>HSOB</vt:lpstr>
      <vt:lpstr>GK</vt:lpstr>
      <vt:lpstr>Pachse</vt:lpstr>
      <vt:lpstr>spez.Ziel</vt:lpstr>
      <vt:lpstr>FAnsatz</vt:lpstr>
      <vt:lpstr>Plstg</vt:lpstr>
      <vt:lpstr>ZG</vt:lpstr>
      <vt:lpstr>fehl.Kofi</vt:lpstr>
      <vt:lpstr>Bedarfbest</vt:lpstr>
      <vt:lpstr>Namen</vt:lpstr>
      <vt:lpstr>Namenliste</vt:lpstr>
      <vt:lpstr>Datenbank_Ende</vt:lpstr>
      <vt:lpstr>Tabelle1</vt:lpstr>
      <vt:lpstr>Tabelle2</vt:lpstr>
      <vt:lpstr>Tabelle3</vt:lpstr>
      <vt:lpstr>'Anmeldeformular2025-1'!Akauswahl</vt:lpstr>
      <vt:lpstr>HilfstabelleDatenbank!Akauswahl</vt:lpstr>
      <vt:lpstr>Akauswahl</vt:lpstr>
      <vt:lpstr>Aktion</vt:lpstr>
      <vt:lpstr>Aktionauswahl</vt:lpstr>
      <vt:lpstr>Aktionliste</vt:lpstr>
      <vt:lpstr>AktionlisteGesamt</vt:lpstr>
      <vt:lpstr>aktivkofi</vt:lpstr>
      <vt:lpstr>Anmeldeingang</vt:lpstr>
      <vt:lpstr>AnmeldeNummer</vt:lpstr>
      <vt:lpstr>Anspranrede</vt:lpstr>
      <vt:lpstr>ansprmail</vt:lpstr>
      <vt:lpstr>Ansprname</vt:lpstr>
      <vt:lpstr>ansprtel</vt:lpstr>
      <vt:lpstr>ansprvorname</vt:lpstr>
      <vt:lpstr>AZvorprojekt</vt:lpstr>
      <vt:lpstr>ba4jahr</vt:lpstr>
      <vt:lpstr>Bedarf</vt:lpstr>
      <vt:lpstr>Bedarfbest</vt:lpstr>
      <vt:lpstr>Bedarfbestauswahl</vt:lpstr>
      <vt:lpstr>Bedarfbestliste</vt:lpstr>
      <vt:lpstr>Beginn</vt:lpstr>
      <vt:lpstr>Beraterliste</vt:lpstr>
      <vt:lpstr>Beraternamen</vt:lpstr>
      <vt:lpstr>BewertungBS</vt:lpstr>
      <vt:lpstr>Bewertungspunkte</vt:lpstr>
      <vt:lpstr>Chartaauswahl</vt:lpstr>
      <vt:lpstr>Datenzeile</vt:lpstr>
      <vt:lpstr>Dokuaktionauswahl</vt:lpstr>
      <vt:lpstr>Dokufansatzauswahl</vt:lpstr>
      <vt:lpstr>DokuPauswahl</vt:lpstr>
      <vt:lpstr>'Anmeldeformular2025-1'!Druckbereich</vt:lpstr>
      <vt:lpstr>Check!Druckbereich</vt:lpstr>
      <vt:lpstr>DokuBogen!Druckbereich</vt:lpstr>
      <vt:lpstr>edwd</vt:lpstr>
      <vt:lpstr>edwdAuswahl</vt:lpstr>
      <vt:lpstr>eigen1jahr</vt:lpstr>
      <vt:lpstr>eigen2jahr</vt:lpstr>
      <vt:lpstr>eigen3jahr</vt:lpstr>
      <vt:lpstr>eigenges</vt:lpstr>
      <vt:lpstr>Eingangdat</vt:lpstr>
      <vt:lpstr>einnahmen1jahr</vt:lpstr>
      <vt:lpstr>einnahmen2jahr</vt:lpstr>
      <vt:lpstr>einnahmen3jahr</vt:lpstr>
      <vt:lpstr>einnahmenges</vt:lpstr>
      <vt:lpstr>Ende</vt:lpstr>
      <vt:lpstr>entgelttn1jahr</vt:lpstr>
      <vt:lpstr>entgelttn2jahr</vt:lpstr>
      <vt:lpstr>entgelttn3jahr</vt:lpstr>
      <vt:lpstr>entgeltTNges</vt:lpstr>
      <vt:lpstr>Entschuldung</vt:lpstr>
      <vt:lpstr>esfges</vt:lpstr>
      <vt:lpstr>eurekanr</vt:lpstr>
      <vt:lpstr>EuropaIch</vt:lpstr>
      <vt:lpstr>Fansatz</vt:lpstr>
      <vt:lpstr>FAnsatzAuswahlen</vt:lpstr>
      <vt:lpstr>Fansatzliste</vt:lpstr>
      <vt:lpstr>FansatzlisteGesamt</vt:lpstr>
      <vt:lpstr>FAnsatzlisteVersatz</vt:lpstr>
      <vt:lpstr>fehl.kofi</vt:lpstr>
      <vt:lpstr>fehl.Kofiauswahl</vt:lpstr>
      <vt:lpstr>Foeansatzlisteges</vt:lpstr>
      <vt:lpstr>Foeauswahl</vt:lpstr>
      <vt:lpstr>FProjBeginn</vt:lpstr>
      <vt:lpstr>FristEingang</vt:lpstr>
      <vt:lpstr>GEK</vt:lpstr>
      <vt:lpstr>GKAuswahl</vt:lpstr>
      <vt:lpstr>GKListe</vt:lpstr>
      <vt:lpstr>Gleichstellungauswahl</vt:lpstr>
      <vt:lpstr>HSOB</vt:lpstr>
      <vt:lpstr>Indikatorik</vt:lpstr>
      <vt:lpstr>Inhalte</vt:lpstr>
      <vt:lpstr>intervesf</vt:lpstr>
      <vt:lpstr>KMU</vt:lpstr>
      <vt:lpstr>kom1jahr</vt:lpstr>
      <vt:lpstr>kom2jahr</vt:lpstr>
      <vt:lpstr>kom3jahr</vt:lpstr>
      <vt:lpstr>kom4jahr</vt:lpstr>
      <vt:lpstr>komges</vt:lpstr>
      <vt:lpstr>Koop</vt:lpstr>
      <vt:lpstr>Kost1jahr</vt:lpstr>
      <vt:lpstr>Kost2jahr</vt:lpstr>
      <vt:lpstr>Kost3jahr</vt:lpstr>
      <vt:lpstr>kostges</vt:lpstr>
      <vt:lpstr>Laufzeit</vt:lpstr>
      <vt:lpstr>LDKom</vt:lpstr>
      <vt:lpstr>LfdNum</vt:lpstr>
      <vt:lpstr>Ltganrede</vt:lpstr>
      <vt:lpstr>ltgname</vt:lpstr>
      <vt:lpstr>ltgtitel</vt:lpstr>
      <vt:lpstr>ltgvorname</vt:lpstr>
      <vt:lpstr>mastd1jahr</vt:lpstr>
      <vt:lpstr>mastd2jahr</vt:lpstr>
      <vt:lpstr>mastd3jahr</vt:lpstr>
      <vt:lpstr>mastdges</vt:lpstr>
      <vt:lpstr>mb4jahr</vt:lpstr>
      <vt:lpstr>Methode</vt:lpstr>
      <vt:lpstr>Migrat</vt:lpstr>
      <vt:lpstr>Nachhaltigkeitauswahl</vt:lpstr>
      <vt:lpstr>neufass</vt:lpstr>
      <vt:lpstr>Nichtdiskriminierungauswahl</vt:lpstr>
      <vt:lpstr>nrvorproj</vt:lpstr>
      <vt:lpstr>Pachse</vt:lpstr>
      <vt:lpstr>Pachseauswahl</vt:lpstr>
      <vt:lpstr>Pachsekurz</vt:lpstr>
      <vt:lpstr>Pachseliste</vt:lpstr>
      <vt:lpstr>Persk</vt:lpstr>
      <vt:lpstr>PK</vt:lpstr>
      <vt:lpstr>Pkauswahl</vt:lpstr>
      <vt:lpstr>PkostAG</vt:lpstr>
      <vt:lpstr>Plstg</vt:lpstr>
      <vt:lpstr>Plstgansatzliste</vt:lpstr>
      <vt:lpstr>Plstgansatzlisteversatz</vt:lpstr>
      <vt:lpstr>PlstgAuswahl</vt:lpstr>
      <vt:lpstr>Plstgauswahlen</vt:lpstr>
      <vt:lpstr>Plstgauswahlgesamt</vt:lpstr>
      <vt:lpstr>PLstgkurz</vt:lpstr>
      <vt:lpstr>Plstgliste</vt:lpstr>
      <vt:lpstr>Pnrvorgaenger</vt:lpstr>
      <vt:lpstr>Prio2auswahl</vt:lpstr>
      <vt:lpstr>Prioauswahl</vt:lpstr>
      <vt:lpstr>Projektname</vt:lpstr>
      <vt:lpstr>Projnettokosten</vt:lpstr>
      <vt:lpstr>Pstruktur</vt:lpstr>
      <vt:lpstr>Ptitel</vt:lpstr>
      <vt:lpstr>regBed</vt:lpstr>
      <vt:lpstr>sgbII1jahr</vt:lpstr>
      <vt:lpstr>sgbII2jahr</vt:lpstr>
      <vt:lpstr>SgbIIges</vt:lpstr>
      <vt:lpstr>SitZG</vt:lpstr>
      <vt:lpstr>SK</vt:lpstr>
      <vt:lpstr>spenden1jahr</vt:lpstr>
      <vt:lpstr>spenden2jahr</vt:lpstr>
      <vt:lpstr>spenden3jahr</vt:lpstr>
      <vt:lpstr>spendenges</vt:lpstr>
      <vt:lpstr>SProjBeginn</vt:lpstr>
      <vt:lpstr>sstgoef1jahr</vt:lpstr>
      <vt:lpstr>sstgoef2jahr</vt:lpstr>
      <vt:lpstr>sstgoeff3jahr</vt:lpstr>
      <vt:lpstr>sstgoefges</vt:lpstr>
      <vt:lpstr>Temail</vt:lpstr>
      <vt:lpstr>teurekanr</vt:lpstr>
      <vt:lpstr>Tfax</vt:lpstr>
      <vt:lpstr>Tname</vt:lpstr>
      <vt:lpstr>TNanz</vt:lpstr>
      <vt:lpstr>TNbes</vt:lpstr>
      <vt:lpstr>TNgeb1jahr</vt:lpstr>
      <vt:lpstr>tngeb2jahr</vt:lpstr>
      <vt:lpstr>tngeb3jahr</vt:lpstr>
      <vt:lpstr>TNgebges</vt:lpstr>
      <vt:lpstr>TNK</vt:lpstr>
      <vt:lpstr>TNml</vt:lpstr>
      <vt:lpstr>TNnichtbinär</vt:lpstr>
      <vt:lpstr>TNpl</vt:lpstr>
      <vt:lpstr>TNrlpauswahl</vt:lpstr>
      <vt:lpstr>TNu25j</vt:lpstr>
      <vt:lpstr>TNue25</vt:lpstr>
      <vt:lpstr>TNue45</vt:lpstr>
      <vt:lpstr>Tnue55</vt:lpstr>
      <vt:lpstr>TNwbl</vt:lpstr>
      <vt:lpstr>Tort</vt:lpstr>
      <vt:lpstr>Tplz</vt:lpstr>
      <vt:lpstr>Transnationalauswahl</vt:lpstr>
      <vt:lpstr>Tstraße</vt:lpstr>
      <vt:lpstr>Ttel</vt:lpstr>
      <vt:lpstr>Ueregion</vt:lpstr>
      <vt:lpstr>VGK</vt:lpstr>
      <vt:lpstr>ZG</vt:lpstr>
      <vt:lpstr>ZGauswahl</vt:lpstr>
      <vt:lpstr>ZGliste</vt:lpstr>
      <vt:lpstr>zielvorg</vt:lpstr>
      <vt:lpstr>zuschussag1jahr</vt:lpstr>
      <vt:lpstr>zuschussag2jahr</vt:lpstr>
      <vt:lpstr>zuschussag3jahr</vt:lpstr>
      <vt:lpstr>ZuschussAGges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Hintz</dc:creator>
  <cp:lastModifiedBy>Wilhelm, Fabian (MASTD)</cp:lastModifiedBy>
  <cp:lastPrinted>2024-07-09T10:06:55Z</cp:lastPrinted>
  <dcterms:created xsi:type="dcterms:W3CDTF">2002-06-03T13:07:44Z</dcterms:created>
  <dcterms:modified xsi:type="dcterms:W3CDTF">2024-07-15T12:30:05Z</dcterms:modified>
</cp:coreProperties>
</file>